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DieseArbeitsmappe"/>
  <mc:AlternateContent xmlns:mc="http://schemas.openxmlformats.org/markup-compatibility/2006">
    <mc:Choice Requires="x15">
      <x15ac:absPath xmlns:x15ac="http://schemas.microsoft.com/office/spreadsheetml/2010/11/ac" url="F:\Marketing\Marketing 2022-2023\Daten-Fakten 2022-23\Preise\"/>
    </mc:Choice>
  </mc:AlternateContent>
  <xr:revisionPtr revIDLastSave="0" documentId="13_ncr:1_{2E542FF7-823B-466B-BA91-85F529BF9619}" xr6:coauthVersionLast="47" xr6:coauthVersionMax="47" xr10:uidLastSave="{00000000-0000-0000-0000-000000000000}"/>
  <bookViews>
    <workbookView xWindow="-120" yWindow="-120" windowWidth="29040" windowHeight="15840" tabRatio="742" xr2:uid="{00000000-000D-0000-FFFF-FFFF00000000}"/>
  </bookViews>
  <sheets>
    <sheet name="Tagespreise" sheetId="9" r:id="rId1"/>
    <sheet name="St. Anton" sheetId="1" r:id="rId2"/>
    <sheet name="Tabelle1" sheetId="10" r:id="rId3"/>
  </sheets>
  <definedNames>
    <definedName name="Euro">'St. Anton'!$A$6:$W$30</definedName>
    <definedName name="Saisonzeiten">'St. Anton'!$Y$5:$AB$14</definedName>
    <definedName name="Tarife">'St. Anton'!#REF!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P7" i="1"/>
  <c r="O7" i="1"/>
  <c r="P6" i="1"/>
  <c r="O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K7" i="1"/>
  <c r="J7" i="1"/>
  <c r="K6" i="1"/>
  <c r="J6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7" i="1"/>
  <c r="F6" i="1"/>
  <c r="E7" i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6" i="1"/>
  <c r="AC11" i="1" l="1"/>
  <c r="AC12" i="1"/>
  <c r="AC13" i="1"/>
  <c r="AC10" i="1"/>
  <c r="AC5" i="1"/>
  <c r="W30" i="1" l="1"/>
  <c r="V15" i="1"/>
  <c r="V16" i="1"/>
  <c r="D1" i="1"/>
  <c r="W13" i="1"/>
  <c r="W19" i="1"/>
  <c r="V30" i="1"/>
  <c r="V7" i="1"/>
  <c r="W6" i="1"/>
  <c r="V6" i="1"/>
  <c r="A2" i="9"/>
  <c r="AC6" i="1"/>
  <c r="AC7" i="1"/>
  <c r="AC8" i="1"/>
  <c r="AC9" i="1"/>
  <c r="B8" i="9"/>
  <c r="D1" i="9"/>
  <c r="C11" i="9" s="1"/>
  <c r="E1" i="9"/>
  <c r="C7" i="9" s="1"/>
  <c r="F1" i="9"/>
  <c r="J6" i="9"/>
  <c r="K6" i="9" s="1"/>
  <c r="L6" i="9" s="1"/>
  <c r="W9" i="1"/>
  <c r="V9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V19" i="1"/>
  <c r="W18" i="1"/>
  <c r="V18" i="1"/>
  <c r="W17" i="1"/>
  <c r="V17" i="1"/>
  <c r="W16" i="1"/>
  <c r="W15" i="1"/>
  <c r="W14" i="1"/>
  <c r="V14" i="1"/>
  <c r="V13" i="1"/>
  <c r="W12" i="1"/>
  <c r="V12" i="1"/>
  <c r="W11" i="1"/>
  <c r="V11" i="1"/>
  <c r="W10" i="1"/>
  <c r="V10" i="1"/>
  <c r="W8" i="1"/>
  <c r="V8" i="1"/>
  <c r="W7" i="1"/>
  <c r="AC18" i="1"/>
  <c r="AC19" i="1"/>
  <c r="AC20" i="1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AC17" i="1" l="1"/>
  <c r="AC21" i="1"/>
  <c r="AC15" i="1"/>
  <c r="C20" i="9"/>
  <c r="C15" i="9"/>
  <c r="C27" i="9"/>
  <c r="C28" i="9"/>
  <c r="C14" i="9"/>
  <c r="C12" i="9"/>
  <c r="C10" i="9"/>
  <c r="C13" i="9"/>
  <c r="C18" i="9"/>
  <c r="C9" i="9"/>
  <c r="C17" i="9"/>
  <c r="D2" i="9"/>
  <c r="D11" i="9" s="1"/>
  <c r="C16" i="9"/>
  <c r="E2" i="9"/>
  <c r="D7" i="9" s="1"/>
  <c r="C22" i="9"/>
  <c r="C25" i="9"/>
  <c r="C19" i="9"/>
  <c r="F2" i="9"/>
  <c r="C23" i="9"/>
  <c r="C24" i="9"/>
  <c r="C29" i="9"/>
  <c r="C21" i="9"/>
  <c r="C26" i="9"/>
  <c r="C8" i="9"/>
  <c r="D9" i="9" l="1"/>
  <c r="D12" i="9"/>
  <c r="D10" i="9"/>
  <c r="D13" i="9"/>
  <c r="D17" i="9"/>
  <c r="D27" i="9"/>
  <c r="AC22" i="1"/>
  <c r="D28" i="9"/>
  <c r="D15" i="9"/>
  <c r="D14" i="9"/>
  <c r="D18" i="9"/>
  <c r="D20" i="9"/>
  <c r="D8" i="9"/>
  <c r="D24" i="9"/>
  <c r="D25" i="9"/>
  <c r="E3" i="9"/>
  <c r="E7" i="9" s="1"/>
  <c r="F3" i="9"/>
  <c r="D26" i="9"/>
  <c r="D23" i="9"/>
  <c r="D22" i="9"/>
  <c r="D21" i="9"/>
  <c r="D3" i="9"/>
  <c r="D29" i="9"/>
  <c r="D19" i="9"/>
  <c r="D16" i="9"/>
  <c r="E27" i="9" l="1"/>
  <c r="E11" i="9"/>
  <c r="E16" i="9"/>
  <c r="E8" i="9"/>
  <c r="E23" i="9"/>
  <c r="E17" i="9"/>
  <c r="E14" i="9"/>
  <c r="E13" i="9"/>
  <c r="E12" i="9"/>
  <c r="E15" i="9"/>
  <c r="E20" i="9"/>
  <c r="E9" i="9"/>
  <c r="E18" i="9"/>
  <c r="E10" i="9"/>
  <c r="E25" i="9"/>
  <c r="E26" i="9"/>
  <c r="E28" i="9"/>
  <c r="E22" i="9"/>
  <c r="E21" i="9"/>
  <c r="E4" i="9"/>
  <c r="F7" i="9" s="1"/>
  <c r="D4" i="9"/>
  <c r="D5" i="9" s="1"/>
  <c r="F4" i="9"/>
  <c r="E19" i="9"/>
  <c r="E29" i="9"/>
  <c r="E24" i="9"/>
  <c r="F25" i="9" l="1"/>
  <c r="F11" i="9"/>
  <c r="G11" i="9" s="1"/>
  <c r="F13" i="9"/>
  <c r="G13" i="9" s="1"/>
  <c r="F8" i="9"/>
  <c r="G8" i="9" s="1"/>
  <c r="F22" i="9"/>
  <c r="G22" i="9" s="1"/>
  <c r="F16" i="9"/>
  <c r="G16" i="9" s="1"/>
  <c r="F21" i="9"/>
  <c r="G21" i="9" s="1"/>
  <c r="F10" i="9"/>
  <c r="G10" i="9" s="1"/>
  <c r="F20" i="9"/>
  <c r="G20" i="9" s="1"/>
  <c r="F15" i="9"/>
  <c r="G15" i="9" s="1"/>
  <c r="F18" i="9"/>
  <c r="G18" i="9" s="1"/>
  <c r="F17" i="9"/>
  <c r="G17" i="9" s="1"/>
  <c r="F14" i="9"/>
  <c r="G14" i="9" s="1"/>
  <c r="F19" i="9"/>
  <c r="G19" i="9" s="1"/>
  <c r="G25" i="9"/>
  <c r="F9" i="9"/>
  <c r="G9" i="9" s="1"/>
  <c r="F23" i="9"/>
  <c r="G23" i="9" s="1"/>
  <c r="F12" i="9"/>
  <c r="G12" i="9" s="1"/>
  <c r="F28" i="9"/>
  <c r="G28" i="9" s="1"/>
  <c r="F26" i="9"/>
  <c r="G26" i="9" s="1"/>
  <c r="F27" i="9"/>
  <c r="G27" i="9" s="1"/>
  <c r="E5" i="9"/>
  <c r="G7" i="9" s="1"/>
  <c r="F5" i="9"/>
  <c r="F29" i="9"/>
  <c r="G29" i="9" s="1"/>
  <c r="F24" i="9"/>
  <c r="M8" i="9" l="1"/>
  <c r="J8" i="9" s="1"/>
  <c r="M20" i="9"/>
  <c r="J20" i="9" s="1"/>
  <c r="M9" i="9"/>
  <c r="I9" i="9" s="1"/>
  <c r="M19" i="9"/>
  <c r="J19" i="9" s="1"/>
  <c r="M10" i="9"/>
  <c r="J10" i="9" s="1"/>
  <c r="M27" i="9"/>
  <c r="J27" i="9" s="1"/>
  <c r="M25" i="9"/>
  <c r="J25" i="9" s="1"/>
  <c r="M21" i="9"/>
  <c r="M26" i="9"/>
  <c r="I26" i="9" s="1"/>
  <c r="M23" i="9"/>
  <c r="M17" i="9"/>
  <c r="I17" i="9" s="1"/>
  <c r="G24" i="9"/>
  <c r="M24" i="9" s="1"/>
  <c r="M11" i="9"/>
  <c r="M14" i="9"/>
  <c r="M18" i="9"/>
  <c r="M22" i="9"/>
  <c r="M16" i="9"/>
  <c r="M15" i="9"/>
  <c r="M28" i="9"/>
  <c r="M12" i="9"/>
  <c r="M13" i="9"/>
  <c r="M29" i="9"/>
  <c r="K8" i="9" l="1"/>
  <c r="I8" i="9"/>
  <c r="I20" i="9"/>
  <c r="K20" i="9"/>
  <c r="K10" i="9"/>
  <c r="K25" i="9"/>
  <c r="J26" i="9"/>
  <c r="K26" i="9"/>
  <c r="K9" i="9"/>
  <c r="J17" i="9"/>
  <c r="J9" i="9"/>
  <c r="I19" i="9"/>
  <c r="K17" i="9"/>
  <c r="I25" i="9"/>
  <c r="K19" i="9"/>
  <c r="K23" i="9"/>
  <c r="I23" i="9"/>
  <c r="J23" i="9"/>
  <c r="I27" i="9"/>
  <c r="K27" i="9"/>
  <c r="I10" i="9"/>
  <c r="I21" i="9"/>
  <c r="J21" i="9"/>
  <c r="K21" i="9"/>
  <c r="J24" i="9"/>
  <c r="K24" i="9"/>
  <c r="I24" i="9"/>
  <c r="K12" i="9"/>
  <c r="I12" i="9"/>
  <c r="J12" i="9"/>
  <c r="I22" i="9"/>
  <c r="K22" i="9"/>
  <c r="J22" i="9"/>
  <c r="I28" i="9"/>
  <c r="K28" i="9"/>
  <c r="J28" i="9"/>
  <c r="I18" i="9"/>
  <c r="J18" i="9"/>
  <c r="K18" i="9"/>
  <c r="I15" i="9"/>
  <c r="K15" i="9"/>
  <c r="J15" i="9"/>
  <c r="J13" i="9"/>
  <c r="I13" i="9"/>
  <c r="K13" i="9"/>
  <c r="I16" i="9"/>
  <c r="J16" i="9"/>
  <c r="K16" i="9"/>
  <c r="J11" i="9"/>
  <c r="K11" i="9"/>
  <c r="I11" i="9"/>
  <c r="J14" i="9"/>
  <c r="I14" i="9"/>
  <c r="K14" i="9"/>
  <c r="J29" i="9"/>
  <c r="I29" i="9"/>
  <c r="K29" i="9"/>
</calcChain>
</file>

<file path=xl/sharedStrings.xml><?xml version="1.0" encoding="utf-8"?>
<sst xmlns="http://schemas.openxmlformats.org/spreadsheetml/2006/main" count="47" uniqueCount="25">
  <si>
    <t>Erwachsene</t>
  </si>
  <si>
    <t>Kinder</t>
  </si>
  <si>
    <t>HS</t>
  </si>
  <si>
    <t>NS</t>
  </si>
  <si>
    <t>15 Uhr</t>
  </si>
  <si>
    <t>12 Uhr</t>
  </si>
  <si>
    <t>SAI</t>
  </si>
  <si>
    <t>FF</t>
  </si>
  <si>
    <t>Saisonzeiten</t>
  </si>
  <si>
    <t>SK</t>
  </si>
  <si>
    <t>NK</t>
  </si>
  <si>
    <t>Tage</t>
  </si>
  <si>
    <t>ENDE</t>
  </si>
  <si>
    <t>bis</t>
  </si>
  <si>
    <t>WF</t>
  </si>
  <si>
    <r>
      <t>ARL</t>
    </r>
    <r>
      <rPr>
        <b/>
        <sz val="12"/>
        <color indexed="9"/>
        <rFont val="Arial"/>
        <family val="2"/>
      </rPr>
      <t>BERG</t>
    </r>
    <r>
      <rPr>
        <b/>
        <sz val="12"/>
        <color indexed="9"/>
        <rFont val="Arial Black"/>
        <family val="2"/>
      </rPr>
      <t xml:space="preserve"> - TARIF      €uro</t>
    </r>
  </si>
  <si>
    <t>Software-Bearbeitungsstand:</t>
  </si>
  <si>
    <t>Vorbehaltlich Irrtum oder Rechenfehler.</t>
  </si>
  <si>
    <t>MISCHPREISBERECHNUNG</t>
  </si>
  <si>
    <t>Kind</t>
  </si>
  <si>
    <t>Jug/Sen</t>
  </si>
  <si>
    <t>Erwachsen</t>
  </si>
  <si>
    <t>Jugendliche / Senioren</t>
  </si>
  <si>
    <t>Wintersaison 2022/23</t>
  </si>
  <si>
    <t>30.08.2022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</si>
</sst>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color indexed="9"/>
      <name val="Arial"/>
      <family val="2"/>
    </font>
    <font>
      <b/>
      <sz val="12"/>
      <color indexed="15"/>
      <name val="Arial"/>
      <family val="2"/>
    </font>
    <font>
      <b/>
      <sz val="10"/>
      <name val="Arial"/>
      <family val="2"/>
    </font>
    <font>
      <b/>
      <sz val="12"/>
      <color indexed="9"/>
      <name val="Arial Black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45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14" fontId="0" fillId="0" borderId="2" xfId="0" applyNumberFormat="1" applyBorder="1"/>
    <xf numFmtId="14" fontId="0" fillId="0" borderId="3" xfId="0" applyNumberForma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/>
    <xf numFmtId="14" fontId="0" fillId="0" borderId="5" xfId="0" applyNumberFormat="1" applyBorder="1"/>
    <xf numFmtId="14" fontId="0" fillId="0" borderId="6" xfId="0" applyNumberForma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7" fillId="0" borderId="0" xfId="0" applyNumberFormat="1" applyFont="1"/>
    <xf numFmtId="0" fontId="7" fillId="0" borderId="0" xfId="0" applyFont="1"/>
    <xf numFmtId="0" fontId="0" fillId="0" borderId="8" xfId="0" applyBorder="1"/>
    <xf numFmtId="0" fontId="0" fillId="2" borderId="1" xfId="0" applyFill="1" applyBorder="1" applyProtection="1">
      <protection hidden="1"/>
    </xf>
    <xf numFmtId="1" fontId="5" fillId="2" borderId="1" xfId="0" applyNumberFormat="1" applyFont="1" applyFill="1" applyBorder="1" applyAlignment="1" applyProtection="1">
      <alignment horizontal="right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1" fontId="5" fillId="2" borderId="0" xfId="0" applyNumberFormat="1" applyFont="1" applyFill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1" fontId="5" fillId="2" borderId="9" xfId="0" applyNumberFormat="1" applyFont="1" applyFill="1" applyBorder="1" applyProtection="1">
      <protection hidden="1"/>
    </xf>
    <xf numFmtId="1" fontId="5" fillId="2" borderId="10" xfId="0" applyNumberFormat="1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1" fontId="5" fillId="2" borderId="8" xfId="0" applyNumberFormat="1" applyFont="1" applyFill="1" applyBorder="1" applyAlignment="1" applyProtection="1">
      <alignment horizontal="right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1" fontId="5" fillId="0" borderId="0" xfId="0" applyNumberFormat="1" applyFont="1" applyProtection="1">
      <protection hidden="1"/>
    </xf>
    <xf numFmtId="1" fontId="5" fillId="0" borderId="0" xfId="0" applyNumberFormat="1" applyFont="1" applyAlignment="1" applyProtection="1">
      <alignment horizontal="right" vertical="center"/>
      <protection hidden="1"/>
    </xf>
    <xf numFmtId="0" fontId="7" fillId="0" borderId="0" xfId="0" applyFont="1" applyProtection="1"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8" fillId="0" borderId="0" xfId="0" applyFont="1"/>
    <xf numFmtId="1" fontId="8" fillId="0" borderId="0" xfId="0" applyNumberFormat="1" applyFont="1"/>
    <xf numFmtId="0" fontId="4" fillId="4" borderId="0" xfId="0" applyFont="1" applyFill="1" applyAlignment="1">
      <alignment horizontal="centerContinuous"/>
    </xf>
    <xf numFmtId="3" fontId="0" fillId="0" borderId="0" xfId="0" applyNumberFormat="1" applyAlignment="1">
      <alignment horizontal="centerContinuous"/>
    </xf>
    <xf numFmtId="2" fontId="9" fillId="0" borderId="0" xfId="0" applyNumberFormat="1" applyFont="1"/>
    <xf numFmtId="0" fontId="6" fillId="4" borderId="10" xfId="0" applyFont="1" applyFill="1" applyBorder="1" applyAlignment="1">
      <alignment horizontal="centerContinuous"/>
    </xf>
    <xf numFmtId="0" fontId="4" fillId="4" borderId="8" xfId="0" applyFont="1" applyFill="1" applyBorder="1" applyAlignment="1">
      <alignment horizontal="centerContinuous"/>
    </xf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13" xfId="0" applyNumberFormat="1" applyBorder="1" applyAlignment="1">
      <alignment horizontal="centerContinuous"/>
    </xf>
    <xf numFmtId="4" fontId="0" fillId="0" borderId="14" xfId="0" applyNumberFormat="1" applyBorder="1" applyAlignment="1">
      <alignment horizontal="centerContinuous"/>
    </xf>
    <xf numFmtId="4" fontId="0" fillId="0" borderId="15" xfId="0" applyNumberFormat="1" applyBorder="1" applyAlignment="1">
      <alignment horizontal="centerContinuous"/>
    </xf>
    <xf numFmtId="0" fontId="7" fillId="0" borderId="0" xfId="0" applyFont="1" applyAlignment="1" applyProtection="1">
      <alignment horizontal="left"/>
      <protection hidden="1"/>
    </xf>
    <xf numFmtId="0" fontId="3" fillId="3" borderId="25" xfId="0" applyFont="1" applyFill="1" applyBorder="1" applyAlignment="1" applyProtection="1">
      <alignment horizontal="centerContinuous" vertical="center"/>
      <protection hidden="1"/>
    </xf>
    <xf numFmtId="4" fontId="0" fillId="0" borderId="0" xfId="0" applyNumberFormat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2" fillId="3" borderId="30" xfId="0" applyFont="1" applyFill="1" applyBorder="1" applyAlignment="1" applyProtection="1">
      <alignment horizontal="center" vertical="center"/>
      <protection hidden="1"/>
    </xf>
    <xf numFmtId="0" fontId="12" fillId="3" borderId="3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4" fillId="2" borderId="28" xfId="0" applyFont="1" applyFill="1" applyBorder="1" applyAlignment="1" applyProtection="1">
      <alignment horizontal="center" vertical="center"/>
      <protection hidden="1"/>
    </xf>
    <xf numFmtId="0" fontId="14" fillId="2" borderId="32" xfId="0" applyFont="1" applyFill="1" applyBorder="1" applyAlignment="1" applyProtection="1">
      <alignment horizontal="center"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1" fontId="10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3" fontId="11" fillId="0" borderId="0" xfId="0" applyNumberFormat="1" applyFont="1" applyProtection="1">
      <protection hidden="1"/>
    </xf>
    <xf numFmtId="4" fontId="10" fillId="0" borderId="0" xfId="0" applyNumberFormat="1" applyFont="1" applyProtection="1">
      <protection hidden="1"/>
    </xf>
    <xf numFmtId="4" fontId="0" fillId="0" borderId="0" xfId="0" applyNumberFormat="1" applyProtection="1">
      <protection hidden="1"/>
    </xf>
    <xf numFmtId="1" fontId="5" fillId="2" borderId="0" xfId="0" applyNumberFormat="1" applyFont="1" applyFill="1" applyProtection="1">
      <protection hidden="1"/>
    </xf>
    <xf numFmtId="1" fontId="5" fillId="2" borderId="8" xfId="0" applyNumberFormat="1" applyFont="1" applyFill="1" applyBorder="1" applyProtection="1"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0" fontId="15" fillId="0" borderId="0" xfId="0" applyFont="1"/>
    <xf numFmtId="0" fontId="16" fillId="0" borderId="0" xfId="0" applyFont="1" applyAlignment="1">
      <alignment horizontal="right"/>
    </xf>
    <xf numFmtId="0" fontId="2" fillId="0" borderId="0" xfId="0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left"/>
      <protection hidden="1"/>
    </xf>
    <xf numFmtId="4" fontId="1" fillId="0" borderId="5" xfId="0" applyNumberFormat="1" applyFont="1" applyBorder="1"/>
    <xf numFmtId="4" fontId="1" fillId="0" borderId="5" xfId="0" applyNumberFormat="1" applyFont="1" applyBorder="1" applyAlignment="1">
      <alignment horizontal="centerContinuous"/>
    </xf>
    <xf numFmtId="0" fontId="17" fillId="6" borderId="0" xfId="0" applyFont="1" applyFill="1" applyAlignment="1" applyProtection="1">
      <alignment horizontal="centerContinuous" vertical="center"/>
      <protection hidden="1"/>
    </xf>
    <xf numFmtId="14" fontId="18" fillId="6" borderId="1" xfId="0" applyNumberFormat="1" applyFont="1" applyFill="1" applyBorder="1" applyAlignment="1" applyProtection="1">
      <alignment horizontal="centerContinuous"/>
      <protection locked="0" hidden="1"/>
    </xf>
    <xf numFmtId="12" fontId="0" fillId="0" borderId="37" xfId="0" applyNumberFormat="1" applyBorder="1" applyAlignment="1">
      <alignment horizontal="center"/>
    </xf>
    <xf numFmtId="0" fontId="2" fillId="0" borderId="38" xfId="0" applyFont="1" applyBorder="1"/>
    <xf numFmtId="12" fontId="0" fillId="0" borderId="21" xfId="0" applyNumberFormat="1" applyBorder="1" applyAlignment="1">
      <alignment horizontal="center"/>
    </xf>
    <xf numFmtId="0" fontId="2" fillId="0" borderId="39" xfId="0" applyFont="1" applyBorder="1"/>
    <xf numFmtId="0" fontId="0" fillId="0" borderId="21" xfId="0" applyBorder="1" applyAlignment="1">
      <alignment horizontal="center"/>
    </xf>
    <xf numFmtId="0" fontId="0" fillId="0" borderId="39" xfId="0" applyBorder="1"/>
    <xf numFmtId="0" fontId="0" fillId="0" borderId="23" xfId="0" applyBorder="1"/>
    <xf numFmtId="14" fontId="19" fillId="6" borderId="20" xfId="0" applyNumberFormat="1" applyFont="1" applyFill="1" applyBorder="1" applyAlignment="1" applyProtection="1">
      <alignment horizontal="centerContinuous"/>
      <protection locked="0" hidden="1"/>
    </xf>
    <xf numFmtId="0" fontId="16" fillId="6" borderId="22" xfId="0" applyFont="1" applyFill="1" applyBorder="1" applyAlignment="1" applyProtection="1">
      <alignment horizontal="centerContinuous" vertical="center"/>
      <protection hidden="1"/>
    </xf>
    <xf numFmtId="0" fontId="20" fillId="0" borderId="0" xfId="0" applyFont="1" applyProtection="1"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32" xfId="0" applyBorder="1" applyAlignment="1" applyProtection="1">
      <alignment vertical="center"/>
      <protection hidden="1"/>
    </xf>
    <xf numFmtId="0" fontId="7" fillId="0" borderId="10" xfId="0" applyFont="1" applyBorder="1" applyAlignment="1" applyProtection="1">
      <alignment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33" xfId="0" applyBorder="1" applyAlignment="1" applyProtection="1">
      <alignment vertical="center"/>
      <protection hidden="1"/>
    </xf>
    <xf numFmtId="0" fontId="5" fillId="0" borderId="40" xfId="0" applyFont="1" applyBorder="1" applyAlignment="1">
      <alignment horizontal="centerContinuous"/>
    </xf>
    <xf numFmtId="0" fontId="5" fillId="0" borderId="41" xfId="0" applyFont="1" applyBorder="1" applyAlignment="1">
      <alignment horizontal="centerContinuous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16" fillId="5" borderId="21" xfId="0" applyFont="1" applyFill="1" applyBorder="1" applyAlignment="1" applyProtection="1">
      <alignment horizontal="center" vertical="center"/>
      <protection hidden="1"/>
    </xf>
    <xf numFmtId="0" fontId="16" fillId="0" borderId="21" xfId="0" applyFont="1" applyBorder="1" applyAlignment="1" applyProtection="1">
      <alignment horizontal="center" vertical="center"/>
      <protection hidden="1"/>
    </xf>
    <xf numFmtId="0" fontId="16" fillId="5" borderId="23" xfId="0" applyFont="1" applyFill="1" applyBorder="1" applyAlignment="1" applyProtection="1">
      <alignment horizontal="center" vertical="center"/>
      <protection hidden="1"/>
    </xf>
    <xf numFmtId="164" fontId="23" fillId="5" borderId="21" xfId="0" applyNumberFormat="1" applyFont="1" applyFill="1" applyBorder="1" applyAlignment="1" applyProtection="1">
      <alignment horizontal="center" vertical="center"/>
      <protection hidden="1"/>
    </xf>
    <xf numFmtId="1" fontId="23" fillId="5" borderId="5" xfId="0" applyNumberFormat="1" applyFont="1" applyFill="1" applyBorder="1" applyAlignment="1" applyProtection="1">
      <alignment vertical="center"/>
      <protection hidden="1"/>
    </xf>
    <xf numFmtId="1" fontId="23" fillId="5" borderId="6" xfId="0" applyNumberFormat="1" applyFont="1" applyFill="1" applyBorder="1" applyAlignment="1" applyProtection="1">
      <alignment vertical="center"/>
      <protection hidden="1"/>
    </xf>
    <xf numFmtId="1" fontId="23" fillId="5" borderId="7" xfId="0" applyNumberFormat="1" applyFont="1" applyFill="1" applyBorder="1" applyAlignment="1" applyProtection="1">
      <alignment vertical="center"/>
      <protection hidden="1"/>
    </xf>
    <xf numFmtId="1" fontId="23" fillId="0" borderId="22" xfId="0" applyNumberFormat="1" applyFont="1" applyBorder="1" applyAlignment="1" applyProtection="1">
      <alignment vertical="center"/>
      <protection hidden="1"/>
    </xf>
    <xf numFmtId="4" fontId="23" fillId="5" borderId="35" xfId="0" applyNumberFormat="1" applyFont="1" applyFill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164" fontId="23" fillId="0" borderId="21" xfId="0" applyNumberFormat="1" applyFont="1" applyBorder="1" applyAlignment="1" applyProtection="1">
      <alignment horizontal="center" vertical="center"/>
      <protection hidden="1"/>
    </xf>
    <xf numFmtId="1" fontId="23" fillId="0" borderId="5" xfId="0" applyNumberFormat="1" applyFont="1" applyBorder="1" applyAlignment="1" applyProtection="1">
      <alignment vertical="center"/>
      <protection hidden="1"/>
    </xf>
    <xf numFmtId="1" fontId="23" fillId="0" borderId="6" xfId="0" applyNumberFormat="1" applyFont="1" applyBorder="1" applyAlignment="1" applyProtection="1">
      <alignment vertical="center"/>
      <protection hidden="1"/>
    </xf>
    <xf numFmtId="1" fontId="23" fillId="0" borderId="7" xfId="0" applyNumberFormat="1" applyFont="1" applyBorder="1" applyAlignment="1" applyProtection="1">
      <alignment vertical="center"/>
      <protection hidden="1"/>
    </xf>
    <xf numFmtId="4" fontId="23" fillId="0" borderId="35" xfId="0" applyNumberFormat="1" applyFont="1" applyBorder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164" fontId="23" fillId="5" borderId="23" xfId="0" applyNumberFormat="1" applyFont="1" applyFill="1" applyBorder="1" applyAlignment="1" applyProtection="1">
      <alignment horizontal="center" vertical="center"/>
      <protection hidden="1"/>
    </xf>
    <xf numFmtId="1" fontId="23" fillId="5" borderId="13" xfId="0" applyNumberFormat="1" applyFont="1" applyFill="1" applyBorder="1" applyAlignment="1" applyProtection="1">
      <alignment vertical="center"/>
      <protection hidden="1"/>
    </xf>
    <xf numFmtId="1" fontId="23" fillId="5" borderId="14" xfId="0" applyNumberFormat="1" applyFont="1" applyFill="1" applyBorder="1" applyAlignment="1" applyProtection="1">
      <alignment vertical="center"/>
      <protection hidden="1"/>
    </xf>
    <xf numFmtId="1" fontId="23" fillId="5" borderId="15" xfId="0" applyNumberFormat="1" applyFont="1" applyFill="1" applyBorder="1" applyAlignment="1" applyProtection="1">
      <alignment vertical="center"/>
      <protection hidden="1"/>
    </xf>
    <xf numFmtId="1" fontId="23" fillId="0" borderId="24" xfId="0" applyNumberFormat="1" applyFont="1" applyBorder="1" applyAlignment="1" applyProtection="1">
      <alignment vertical="center"/>
      <protection hidden="1"/>
    </xf>
    <xf numFmtId="4" fontId="23" fillId="5" borderId="36" xfId="0" applyNumberFormat="1" applyFont="1" applyFill="1" applyBorder="1" applyAlignment="1" applyProtection="1">
      <alignment horizontal="right" vertical="center"/>
      <protection hidden="1"/>
    </xf>
    <xf numFmtId="164" fontId="23" fillId="0" borderId="16" xfId="0" applyNumberFormat="1" applyFont="1" applyBorder="1" applyAlignment="1" applyProtection="1">
      <alignment horizontal="center" vertical="center"/>
      <protection hidden="1"/>
    </xf>
    <xf numFmtId="1" fontId="23" fillId="0" borderId="17" xfId="0" applyNumberFormat="1" applyFont="1" applyBorder="1" applyAlignment="1" applyProtection="1">
      <alignment vertical="center"/>
      <protection hidden="1"/>
    </xf>
    <xf numFmtId="1" fontId="23" fillId="0" borderId="18" xfId="0" applyNumberFormat="1" applyFont="1" applyBorder="1" applyAlignment="1" applyProtection="1">
      <alignment vertical="center"/>
      <protection hidden="1"/>
    </xf>
    <xf numFmtId="1" fontId="23" fillId="0" borderId="19" xfId="0" applyNumberFormat="1" applyFont="1" applyBorder="1" applyAlignment="1" applyProtection="1">
      <alignment vertical="center"/>
      <protection hidden="1"/>
    </xf>
    <xf numFmtId="1" fontId="23" fillId="0" borderId="20" xfId="0" applyNumberFormat="1" applyFont="1" applyBorder="1" applyAlignment="1" applyProtection="1">
      <alignment vertical="center"/>
      <protection hidden="1"/>
    </xf>
    <xf numFmtId="4" fontId="23" fillId="0" borderId="34" xfId="0" applyNumberFormat="1" applyFont="1" applyBorder="1" applyAlignment="1" applyProtection="1">
      <alignment horizontal="right" vertical="center"/>
      <protection hidden="1"/>
    </xf>
    <xf numFmtId="164" fontId="23" fillId="5" borderId="16" xfId="0" applyNumberFormat="1" applyFont="1" applyFill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4" fontId="23" fillId="0" borderId="34" xfId="0" applyNumberFormat="1" applyFont="1" applyBorder="1" applyAlignment="1" applyProtection="1">
      <alignment horizontal="center" vertical="center"/>
      <protection hidden="1"/>
    </xf>
    <xf numFmtId="4" fontId="23" fillId="5" borderId="35" xfId="0" applyNumberFormat="1" applyFont="1" applyFill="1" applyBorder="1" applyAlignment="1" applyProtection="1">
      <alignment horizontal="center" vertical="center"/>
      <protection hidden="1"/>
    </xf>
    <xf numFmtId="4" fontId="23" fillId="0" borderId="35" xfId="0" applyNumberFormat="1" applyFont="1" applyBorder="1" applyAlignment="1" applyProtection="1">
      <alignment horizontal="center" vertical="center"/>
      <protection hidden="1"/>
    </xf>
    <xf numFmtId="4" fontId="23" fillId="5" borderId="36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/>
    <xf numFmtId="4" fontId="0" fillId="0" borderId="43" xfId="0" applyNumberFormat="1" applyBorder="1" applyAlignment="1">
      <alignment horizontal="right"/>
    </xf>
    <xf numFmtId="0" fontId="0" fillId="7" borderId="30" xfId="0" applyFill="1" applyBorder="1" applyAlignment="1">
      <alignment horizontal="center"/>
    </xf>
    <xf numFmtId="4" fontId="0" fillId="7" borderId="3" xfId="0" applyNumberFormat="1" applyFill="1" applyBorder="1" applyAlignment="1">
      <alignment horizontal="right"/>
    </xf>
    <xf numFmtId="4" fontId="0" fillId="7" borderId="6" xfId="0" applyNumberFormat="1" applyFill="1" applyBorder="1" applyAlignment="1">
      <alignment horizontal="right"/>
    </xf>
    <xf numFmtId="0" fontId="0" fillId="8" borderId="31" xfId="0" applyFill="1" applyBorder="1" applyAlignment="1">
      <alignment horizontal="center"/>
    </xf>
    <xf numFmtId="4" fontId="0" fillId="8" borderId="4" xfId="0" applyNumberFormat="1" applyFill="1" applyBorder="1" applyAlignment="1">
      <alignment horizontal="right"/>
    </xf>
    <xf numFmtId="4" fontId="0" fillId="8" borderId="7" xfId="0" applyNumberFormat="1" applyFill="1" applyBorder="1" applyAlignment="1">
      <alignment horizontal="right"/>
    </xf>
    <xf numFmtId="4" fontId="0" fillId="8" borderId="42" xfId="0" applyNumberFormat="1" applyFill="1" applyBorder="1" applyAlignment="1">
      <alignment horizontal="right"/>
    </xf>
    <xf numFmtId="4" fontId="0" fillId="8" borderId="6" xfId="0" applyNumberFormat="1" applyFill="1" applyBorder="1" applyAlignment="1">
      <alignment horizontal="right"/>
    </xf>
    <xf numFmtId="0" fontId="21" fillId="0" borderId="9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32" xfId="0" applyFont="1" applyBorder="1" applyAlignment="1" applyProtection="1">
      <alignment horizontal="center" vertical="center"/>
      <protection hidden="1"/>
    </xf>
    <xf numFmtId="0" fontId="22" fillId="0" borderId="4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22" fillId="0" borderId="28" xfId="0" applyFont="1" applyBorder="1" applyAlignment="1" applyProtection="1">
      <alignment horizontal="center"/>
      <protection hidden="1"/>
    </xf>
    <xf numFmtId="0" fontId="22" fillId="0" borderId="9" xfId="0" applyFont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2" fillId="0" borderId="32" xfId="0" applyFont="1" applyBorder="1" applyAlignment="1" applyProtection="1">
      <alignment horizontal="center"/>
      <protection hidden="1"/>
    </xf>
    <xf numFmtId="0" fontId="10" fillId="0" borderId="4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5" xfId="0" applyFont="1" applyBorder="1" applyAlignment="1">
      <alignment horizontal="center"/>
    </xf>
  </cellXfs>
  <cellStyles count="1">
    <cellStyle name="Standard" xfId="0" builtinId="0"/>
  </cellStyles>
  <dxfs count="4">
    <dxf>
      <fill>
        <patternFill>
          <bgColor indexed="4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28575</xdr:rowOff>
    </xdr:from>
    <xdr:to>
      <xdr:col>1</xdr:col>
      <xdr:colOff>0</xdr:colOff>
      <xdr:row>4</xdr:row>
      <xdr:rowOff>133350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47625" y="590550"/>
          <a:ext cx="71437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AT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Hier bitte Datum eingeben</a:t>
          </a:r>
        </a:p>
        <a:p>
          <a:pPr algn="ctr" rtl="0">
            <a:defRPr sz="1000"/>
          </a:pPr>
          <a:endParaRPr lang="de-AT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 </a:t>
          </a:r>
          <a:r>
            <a:rPr lang="de-AT" sz="1000" b="1" i="0" u="none" strike="noStrike" baseline="0">
              <a:solidFill>
                <a:srgbClr val="FFFF00"/>
              </a:solidFill>
              <a:latin typeface="Arial"/>
              <a:cs typeface="Arial"/>
            </a:rPr>
            <a:t>&lt;31-1-01&gt;</a:t>
          </a:r>
          <a:endParaRPr lang="de-AT"/>
        </a:p>
      </xdr:txBody>
    </xdr:sp>
    <xdr:clientData/>
  </xdr:twoCellAnchor>
  <xdr:twoCellAnchor>
    <xdr:from>
      <xdr:col>2</xdr:col>
      <xdr:colOff>28575</xdr:colOff>
      <xdr:row>0</xdr:row>
      <xdr:rowOff>266700</xdr:rowOff>
    </xdr:from>
    <xdr:to>
      <xdr:col>2</xdr:col>
      <xdr:colOff>219075</xdr:colOff>
      <xdr:row>1</xdr:row>
      <xdr:rowOff>171450</xdr:rowOff>
    </xdr:to>
    <xdr:sp macro="" textlink="">
      <xdr:nvSpPr>
        <xdr:cNvPr id="4173" name="Line 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ShapeType="1"/>
        </xdr:cNvSpPr>
      </xdr:nvSpPr>
      <xdr:spPr bwMode="auto">
        <a:xfrm flipH="1" flipV="1">
          <a:off x="1295400" y="266700"/>
          <a:ext cx="19050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1390650</xdr:colOff>
      <xdr:row>1</xdr:row>
      <xdr:rowOff>171450</xdr:rowOff>
    </xdr:from>
    <xdr:to>
      <xdr:col>2</xdr:col>
      <xdr:colOff>219075</xdr:colOff>
      <xdr:row>3</xdr:row>
      <xdr:rowOff>19050</xdr:rowOff>
    </xdr:to>
    <xdr:sp macro="" textlink="">
      <xdr:nvSpPr>
        <xdr:cNvPr id="4174" name="Line 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ShapeType="1"/>
        </xdr:cNvSpPr>
      </xdr:nvSpPr>
      <xdr:spPr bwMode="auto">
        <a:xfrm flipH="1">
          <a:off x="762000" y="504825"/>
          <a:ext cx="7239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133349</xdr:colOff>
      <xdr:row>2</xdr:row>
      <xdr:rowOff>9524</xdr:rowOff>
    </xdr:from>
    <xdr:to>
      <xdr:col>10</xdr:col>
      <xdr:colOff>479071</xdr:colOff>
      <xdr:row>4</xdr:row>
      <xdr:rowOff>190499</xdr:rowOff>
    </xdr:to>
    <xdr:pic>
      <xdr:nvPicPr>
        <xdr:cNvPr id="4175" name="Picture 7" descr="ski arlberg schwarz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49" y="571499"/>
          <a:ext cx="1269647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17</xdr:row>
      <xdr:rowOff>9525</xdr:rowOff>
    </xdr:from>
    <xdr:to>
      <xdr:col>2</xdr:col>
      <xdr:colOff>38100</xdr:colOff>
      <xdr:row>30</xdr:row>
      <xdr:rowOff>161924</xdr:rowOff>
    </xdr:to>
    <xdr:sp macro="" textlink="">
      <xdr:nvSpPr>
        <xdr:cNvPr id="1028" name="Text 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352425" y="2924175"/>
          <a:ext cx="390525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lnSpc>
              <a:spcPts val="800"/>
            </a:lnSpc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mit Foto</a:t>
          </a:r>
        </a:p>
        <a:p>
          <a:pPr algn="ctr" rtl="0">
            <a:lnSpc>
              <a:spcPts val="1000"/>
            </a:lnSpc>
            <a:defRPr sz="1000"/>
          </a:pPr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Z31"/>
  <sheetViews>
    <sheetView showGridLines="0" tabSelected="1" zoomScaleNormal="100" zoomScaleSheetLayoutView="100" workbookViewId="0">
      <selection activeCell="A16" sqref="A16"/>
    </sheetView>
  </sheetViews>
  <sheetFormatPr baseColWidth="10" defaultRowHeight="12.75" x14ac:dyDescent="0.2"/>
  <cols>
    <col min="1" max="1" width="11.42578125" style="20"/>
    <col min="2" max="2" width="7.5703125" style="20" customWidth="1"/>
    <col min="3" max="3" width="3.85546875" style="20" bestFit="1" customWidth="1"/>
    <col min="4" max="4" width="4" style="20" bestFit="1" customWidth="1"/>
    <col min="5" max="5" width="3.5703125" style="20" bestFit="1" customWidth="1"/>
    <col min="6" max="7" width="3.85546875" style="20" bestFit="1" customWidth="1"/>
    <col min="8" max="8" width="0.42578125" style="20" customWidth="1"/>
    <col min="9" max="9" width="14" style="20" customWidth="1"/>
    <col min="10" max="10" width="13.85546875" style="20" customWidth="1"/>
    <col min="11" max="11" width="13.7109375" style="20" customWidth="1"/>
    <col min="12" max="12" width="10" style="20" customWidth="1"/>
    <col min="13" max="13" width="8.7109375" style="20" customWidth="1"/>
    <col min="14" max="14" width="8.140625" style="20" customWidth="1"/>
    <col min="15" max="15" width="0.42578125" style="20" customWidth="1"/>
    <col min="16" max="16" width="7.85546875" style="20" customWidth="1"/>
    <col min="17" max="17" width="8.140625" style="20" customWidth="1"/>
    <col min="18" max="18" width="2.7109375" style="20" customWidth="1"/>
    <col min="19" max="22" width="6.7109375" style="20" customWidth="1"/>
    <col min="23" max="26" width="7.85546875" style="20" customWidth="1"/>
    <col min="27" max="16384" width="11.42578125" style="20"/>
  </cols>
  <sheetData>
    <row r="1" spans="1:17" ht="26.25" x14ac:dyDescent="0.4">
      <c r="A1" s="87">
        <v>45020</v>
      </c>
      <c r="B1" s="79"/>
      <c r="C1" s="16"/>
      <c r="D1" s="17">
        <f>VLOOKUP(A1,Saisonzeiten,2)-A1+1</f>
        <v>11</v>
      </c>
      <c r="E1" s="18" t="str">
        <f>VLOOKUP(A1,Saisonzeiten,3)</f>
        <v>WF</v>
      </c>
      <c r="F1" s="61">
        <f>VLOOKUP(A1,Saisonzeiten,4)</f>
        <v>4</v>
      </c>
      <c r="G1" s="19"/>
      <c r="H1" s="19"/>
      <c r="I1" s="147" t="s">
        <v>18</v>
      </c>
      <c r="J1" s="148"/>
      <c r="K1" s="148"/>
      <c r="L1" s="149"/>
      <c r="O1" s="19"/>
    </row>
    <row r="2" spans="1:17" ht="18" x14ac:dyDescent="0.25">
      <c r="A2" s="88" t="str">
        <f>TEXT(WEEKDAY(A1),"TTTT")</f>
        <v>Dienstag</v>
      </c>
      <c r="B2" s="78"/>
      <c r="C2" s="21"/>
      <c r="D2" s="22">
        <f>VLOOKUP(A1+D1,Saisonzeiten,2)-VLOOKUP(A1+D1,Saisonzeiten,1)+1</f>
        <v>9</v>
      </c>
      <c r="E2" s="23" t="str">
        <f>VLOOKUP(A1+D1,Saisonzeiten,3)</f>
        <v>SK</v>
      </c>
      <c r="F2" s="62">
        <f>VLOOKUP(A1+D1,Saisonzeiten,4)</f>
        <v>5</v>
      </c>
      <c r="G2" s="19"/>
      <c r="H2" s="19"/>
      <c r="I2" s="150" t="s">
        <v>23</v>
      </c>
      <c r="J2" s="151"/>
      <c r="K2" s="151"/>
      <c r="L2" s="152"/>
      <c r="N2" s="60"/>
      <c r="O2" s="19"/>
      <c r="P2" s="60"/>
      <c r="Q2" s="60"/>
    </row>
    <row r="3" spans="1:17" ht="15.75" x14ac:dyDescent="0.2">
      <c r="A3" s="24"/>
      <c r="B3" s="69"/>
      <c r="C3" s="21"/>
      <c r="D3" s="22">
        <f>VLOOKUP($A$1+$D$1+$D$2,Saisonzeiten,2)-VLOOKUP($A$1+$D$1+$D$2,Saisonzeiten,1)+1</f>
        <v>9</v>
      </c>
      <c r="E3" s="23" t="str">
        <f>VLOOKUP($A$1+$D$2+$D$1,Saisonzeiten,3)</f>
        <v>SK</v>
      </c>
      <c r="F3" s="62">
        <f>VLOOKUP(A1+D2+D1,Saisonzeiten,4)</f>
        <v>5</v>
      </c>
      <c r="G3" s="19"/>
      <c r="H3" s="19"/>
      <c r="I3" s="90"/>
      <c r="J3" s="60"/>
      <c r="K3" s="19"/>
      <c r="L3" s="91"/>
      <c r="M3" s="60"/>
      <c r="N3" s="60"/>
      <c r="O3" s="19"/>
      <c r="P3" s="60"/>
      <c r="Q3" s="60"/>
    </row>
    <row r="4" spans="1:17" ht="15.75" x14ac:dyDescent="0.2">
      <c r="A4" s="24"/>
      <c r="B4" s="69"/>
      <c r="C4" s="21"/>
      <c r="D4" s="22">
        <f>VLOOKUP($A$1+$D$1+$D$2+D3,Saisonzeiten,2)-VLOOKUP($A$1+$D$1+$D$2+D3,Saisonzeiten,1)+1</f>
        <v>9</v>
      </c>
      <c r="E4" s="23" t="str">
        <f>VLOOKUP($A$1+$D$2+$D$1+$D$3,Saisonzeiten,3)</f>
        <v>SK</v>
      </c>
      <c r="F4" s="62">
        <f>VLOOKUP($A$1+$D$2+$D$1+$D$3,Saisonzeiten,4)</f>
        <v>5</v>
      </c>
      <c r="G4" s="19"/>
      <c r="H4" s="19"/>
      <c r="I4" s="144"/>
      <c r="J4" s="145"/>
      <c r="K4" s="145"/>
      <c r="L4" s="146"/>
    </row>
    <row r="5" spans="1:17" ht="16.5" thickBot="1" x14ac:dyDescent="0.25">
      <c r="A5" s="25"/>
      <c r="B5" s="70"/>
      <c r="C5" s="26"/>
      <c r="D5" s="27">
        <f>VLOOKUP($A$1+$D$1+$D$2+$D$3+D4,Saisonzeiten,2)-VLOOKUP($A$1+$D$1+$D$2+$D$3+D4,Saisonzeiten,1)+1</f>
        <v>9</v>
      </c>
      <c r="E5" s="28" t="str">
        <f>VLOOKUP($A$1+$D$2+$D$1+$D$3+$D$4,Saisonzeiten,3)</f>
        <v>SK</v>
      </c>
      <c r="F5" s="63">
        <f>VLOOKUP($A$1+$D$2+$D$1+$D$3+$D$4,Saisonzeiten,4)</f>
        <v>5</v>
      </c>
      <c r="G5" s="19"/>
      <c r="H5" s="19"/>
      <c r="I5" s="92">
        <v>0</v>
      </c>
      <c r="J5" s="93"/>
      <c r="K5" s="94"/>
      <c r="L5" s="95"/>
    </row>
    <row r="6" spans="1:17" ht="24" customHeight="1" thickBot="1" x14ac:dyDescent="0.25">
      <c r="A6" s="29"/>
      <c r="B6" s="29"/>
      <c r="D6" s="30"/>
      <c r="E6" s="19"/>
      <c r="F6" s="19"/>
      <c r="G6" s="19"/>
      <c r="H6" s="19"/>
      <c r="I6" s="31">
        <v>3</v>
      </c>
      <c r="J6" s="31">
        <f>I6+5</f>
        <v>8</v>
      </c>
      <c r="K6" s="31">
        <f>J6+5</f>
        <v>13</v>
      </c>
      <c r="L6" s="31">
        <f>K6+5</f>
        <v>18</v>
      </c>
    </row>
    <row r="7" spans="1:17" ht="18.75" thickBot="1" x14ac:dyDescent="0.25">
      <c r="A7" s="71" t="s">
        <v>11</v>
      </c>
      <c r="B7" s="71" t="s">
        <v>13</v>
      </c>
      <c r="C7" s="57" t="str">
        <f>E1</f>
        <v>WF</v>
      </c>
      <c r="D7" s="58" t="str">
        <f>E2</f>
        <v>SK</v>
      </c>
      <c r="E7" s="58" t="str">
        <f>E3</f>
        <v>SK</v>
      </c>
      <c r="F7" s="58" t="str">
        <f>E4</f>
        <v>SK</v>
      </c>
      <c r="G7" s="59" t="str">
        <f>E5</f>
        <v>SK</v>
      </c>
      <c r="H7" s="32"/>
      <c r="I7" s="48" t="s">
        <v>21</v>
      </c>
      <c r="J7" s="48" t="s">
        <v>19</v>
      </c>
      <c r="K7" s="98" t="s">
        <v>20</v>
      </c>
      <c r="L7" s="48"/>
      <c r="M7" s="47" t="s">
        <v>12</v>
      </c>
    </row>
    <row r="8" spans="1:17" s="109" customFormat="1" ht="13.5" customHeight="1" x14ac:dyDescent="0.2">
      <c r="A8" s="129">
        <v>1.5</v>
      </c>
      <c r="B8" s="122">
        <f>$A$1+1</f>
        <v>45021</v>
      </c>
      <c r="C8" s="123">
        <f>IF(A8&lt;$D$1,ROUNDUP(A8,0),$D$1)</f>
        <v>2</v>
      </c>
      <c r="D8" s="124">
        <f>IF((ROUNDUP(A8,0)-C8)=0,0,IF((A8-C8)&lt;$D$2,ROUNDUP(A8,0)-C8,$D$2))</f>
        <v>0</v>
      </c>
      <c r="E8" s="124">
        <f>IF((ROUNDUP(A8,0)-C8-D8)=0,0,IF((ROUNDUP(A8,0)-C8-D8)&lt;$D$3,ROUNDUP(A8,0)-C8-D8,$D$3))</f>
        <v>0</v>
      </c>
      <c r="F8" s="124">
        <f>IF((ROUNDUP(A8,0)-C8-D8-E8)=0,0,IF((ROUNDUP(A8,0)-C8-D8-E8)&lt;$D$4,ROUNDUP(A8,0)-C8-D8-E8,$D$4))</f>
        <v>0</v>
      </c>
      <c r="G8" s="125">
        <f t="shared" ref="G8:G29" si="0">IF((ROUNDUP(A8,0)-C8-D8-E8-F8)=0,0,IF((ROUNDUP(A8,0)-C8-D8-E8-F8)&lt;$D$5,ROUNDUP(A8,0)-C8-D8-E8-F8,$D$5))</f>
        <v>0</v>
      </c>
      <c r="H8" s="126"/>
      <c r="I8" s="130">
        <f t="shared" ref="I8:K29" si="1">IF($M8=TRUE,$M$7,ROUNDUP(((VLOOKUP($A8,Euro,$F$1+I$6)/ROUNDUP($A8,0)*$C8)+(VLOOKUP($A8,Euro,$F$2+I$6)/ROUNDUP($A8,0)*$D8)+(VLOOKUP($A8,Euro,$F$3+I$6)/ROUNDUP($A8,0)*$E8)+(VLOOKUP($A8,Euro,$F$4+I$6)/ROUNDUP($A8,0)*$F8)),$I$5))</f>
        <v>100</v>
      </c>
      <c r="J8" s="130">
        <f t="shared" si="1"/>
        <v>58</v>
      </c>
      <c r="K8" s="130">
        <f t="shared" si="1"/>
        <v>91</v>
      </c>
      <c r="L8" s="127"/>
      <c r="M8" s="108" t="b">
        <f t="shared" ref="M8:M29" si="2">OR($C$7="EN",AND($D$7="EN",D8&gt;0),AND($E$7="EN",E8&gt;0),AND($F$7="EN",F8&gt;0),AND($G$7="EN",G8&gt;0))</f>
        <v>0</v>
      </c>
    </row>
    <row r="9" spans="1:17" s="109" customFormat="1" ht="13.5" customHeight="1" x14ac:dyDescent="0.2">
      <c r="A9" s="99">
        <v>2</v>
      </c>
      <c r="B9" s="128">
        <f>$A$1+A9-1</f>
        <v>45021</v>
      </c>
      <c r="C9" s="103">
        <f t="shared" ref="C9:C29" si="3">IF(A9&lt;$D$1,A9,$D$1)</f>
        <v>2</v>
      </c>
      <c r="D9" s="104">
        <f t="shared" ref="D9:D29" si="4">IF((C9-A9)=0,0,IF((A9-C9)&lt;$D$2,A9-C9,$D$2))</f>
        <v>0</v>
      </c>
      <c r="E9" s="104">
        <f t="shared" ref="E9:E29" si="5">IF((A9-C9-D9)=0,0,IF((A9-C9-D9)&lt;$D$3,A9-C9-D9,$D$3))</f>
        <v>0</v>
      </c>
      <c r="F9" s="104">
        <f t="shared" ref="F9:F29" si="6">IF((A9-C9-D9-E9)=0,0,IF((A9-C9-D9-E9)&lt;$D$4,A9-C9-D9-E9,$D$4))</f>
        <v>0</v>
      </c>
      <c r="G9" s="105">
        <f t="shared" si="0"/>
        <v>0</v>
      </c>
      <c r="H9" s="106"/>
      <c r="I9" s="131">
        <f t="shared" si="1"/>
        <v>117</v>
      </c>
      <c r="J9" s="131">
        <f t="shared" si="1"/>
        <v>69</v>
      </c>
      <c r="K9" s="131">
        <f t="shared" si="1"/>
        <v>108</v>
      </c>
      <c r="L9" s="107"/>
      <c r="M9" s="108" t="b">
        <f t="shared" si="2"/>
        <v>0</v>
      </c>
    </row>
    <row r="10" spans="1:17" s="109" customFormat="1" ht="13.5" customHeight="1" x14ac:dyDescent="0.2">
      <c r="A10" s="100">
        <v>3</v>
      </c>
      <c r="B10" s="110">
        <f t="shared" ref="B10:B29" si="7">$A$1+A10-1</f>
        <v>45022</v>
      </c>
      <c r="C10" s="111">
        <f t="shared" si="3"/>
        <v>3</v>
      </c>
      <c r="D10" s="112">
        <f t="shared" si="4"/>
        <v>0</v>
      </c>
      <c r="E10" s="112">
        <f t="shared" si="5"/>
        <v>0</v>
      </c>
      <c r="F10" s="112">
        <f t="shared" si="6"/>
        <v>0</v>
      </c>
      <c r="G10" s="113">
        <f t="shared" si="0"/>
        <v>0</v>
      </c>
      <c r="H10" s="106"/>
      <c r="I10" s="132">
        <f t="shared" si="1"/>
        <v>168</v>
      </c>
      <c r="J10" s="132">
        <f t="shared" si="1"/>
        <v>99</v>
      </c>
      <c r="K10" s="132">
        <f t="shared" si="1"/>
        <v>149</v>
      </c>
      <c r="L10" s="114"/>
      <c r="M10" s="108" t="b">
        <f t="shared" si="2"/>
        <v>0</v>
      </c>
    </row>
    <row r="11" spans="1:17" s="109" customFormat="1" ht="13.5" customHeight="1" x14ac:dyDescent="0.2">
      <c r="A11" s="99">
        <v>4</v>
      </c>
      <c r="B11" s="102">
        <f t="shared" si="7"/>
        <v>45023</v>
      </c>
      <c r="C11" s="103">
        <f t="shared" si="3"/>
        <v>4</v>
      </c>
      <c r="D11" s="104">
        <f t="shared" si="4"/>
        <v>0</v>
      </c>
      <c r="E11" s="104">
        <f t="shared" si="5"/>
        <v>0</v>
      </c>
      <c r="F11" s="104">
        <f t="shared" si="6"/>
        <v>0</v>
      </c>
      <c r="G11" s="105">
        <f t="shared" si="0"/>
        <v>0</v>
      </c>
      <c r="H11" s="106"/>
      <c r="I11" s="131">
        <f t="shared" si="1"/>
        <v>218</v>
      </c>
      <c r="J11" s="131">
        <f t="shared" si="1"/>
        <v>127</v>
      </c>
      <c r="K11" s="131">
        <f t="shared" si="1"/>
        <v>190</v>
      </c>
      <c r="L11" s="107"/>
      <c r="M11" s="108" t="b">
        <f t="shared" si="2"/>
        <v>0</v>
      </c>
    </row>
    <row r="12" spans="1:17" s="109" customFormat="1" ht="13.5" customHeight="1" x14ac:dyDescent="0.2">
      <c r="A12" s="100">
        <v>5</v>
      </c>
      <c r="B12" s="110">
        <f t="shared" si="7"/>
        <v>45024</v>
      </c>
      <c r="C12" s="111">
        <f t="shared" si="3"/>
        <v>5</v>
      </c>
      <c r="D12" s="112">
        <f t="shared" si="4"/>
        <v>0</v>
      </c>
      <c r="E12" s="112">
        <f t="shared" si="5"/>
        <v>0</v>
      </c>
      <c r="F12" s="112">
        <f t="shared" si="6"/>
        <v>0</v>
      </c>
      <c r="G12" s="113">
        <f t="shared" si="0"/>
        <v>0</v>
      </c>
      <c r="H12" s="106"/>
      <c r="I12" s="132">
        <f t="shared" si="1"/>
        <v>263</v>
      </c>
      <c r="J12" s="132">
        <f t="shared" si="1"/>
        <v>154</v>
      </c>
      <c r="K12" s="132">
        <f t="shared" si="1"/>
        <v>229</v>
      </c>
      <c r="L12" s="114"/>
      <c r="M12" s="108" t="b">
        <f t="shared" si="2"/>
        <v>0</v>
      </c>
    </row>
    <row r="13" spans="1:17" s="109" customFormat="1" ht="13.5" customHeight="1" x14ac:dyDescent="0.2">
      <c r="A13" s="99">
        <v>6</v>
      </c>
      <c r="B13" s="102">
        <f t="shared" si="7"/>
        <v>45025</v>
      </c>
      <c r="C13" s="103">
        <f t="shared" si="3"/>
        <v>6</v>
      </c>
      <c r="D13" s="104">
        <f t="shared" si="4"/>
        <v>0</v>
      </c>
      <c r="E13" s="104">
        <f t="shared" si="5"/>
        <v>0</v>
      </c>
      <c r="F13" s="104">
        <f t="shared" si="6"/>
        <v>0</v>
      </c>
      <c r="G13" s="105">
        <f t="shared" si="0"/>
        <v>0</v>
      </c>
      <c r="H13" s="106"/>
      <c r="I13" s="131">
        <f t="shared" si="1"/>
        <v>307</v>
      </c>
      <c r="J13" s="131">
        <f t="shared" si="1"/>
        <v>179</v>
      </c>
      <c r="K13" s="131">
        <f t="shared" si="1"/>
        <v>267</v>
      </c>
      <c r="L13" s="107"/>
      <c r="M13" s="108" t="b">
        <f t="shared" si="2"/>
        <v>0</v>
      </c>
    </row>
    <row r="14" spans="1:17" s="109" customFormat="1" ht="13.5" customHeight="1" x14ac:dyDescent="0.2">
      <c r="A14" s="100">
        <v>7</v>
      </c>
      <c r="B14" s="110">
        <f t="shared" si="7"/>
        <v>45026</v>
      </c>
      <c r="C14" s="111">
        <f t="shared" si="3"/>
        <v>7</v>
      </c>
      <c r="D14" s="112">
        <f t="shared" si="4"/>
        <v>0</v>
      </c>
      <c r="E14" s="112">
        <f t="shared" si="5"/>
        <v>0</v>
      </c>
      <c r="F14" s="112">
        <f t="shared" si="6"/>
        <v>0</v>
      </c>
      <c r="G14" s="113">
        <f t="shared" si="0"/>
        <v>0</v>
      </c>
      <c r="H14" s="106"/>
      <c r="I14" s="132">
        <f t="shared" si="1"/>
        <v>345</v>
      </c>
      <c r="J14" s="132">
        <f t="shared" si="1"/>
        <v>202</v>
      </c>
      <c r="K14" s="132">
        <f t="shared" si="1"/>
        <v>300</v>
      </c>
      <c r="L14" s="114"/>
      <c r="M14" s="108" t="b">
        <f t="shared" si="2"/>
        <v>0</v>
      </c>
    </row>
    <row r="15" spans="1:17" s="109" customFormat="1" ht="13.5" customHeight="1" x14ac:dyDescent="0.2">
      <c r="A15" s="99">
        <v>8</v>
      </c>
      <c r="B15" s="102">
        <f t="shared" si="7"/>
        <v>45027</v>
      </c>
      <c r="C15" s="103">
        <f t="shared" si="3"/>
        <v>8</v>
      </c>
      <c r="D15" s="104">
        <f t="shared" si="4"/>
        <v>0</v>
      </c>
      <c r="E15" s="104">
        <f t="shared" si="5"/>
        <v>0</v>
      </c>
      <c r="F15" s="104">
        <f t="shared" si="6"/>
        <v>0</v>
      </c>
      <c r="G15" s="105">
        <f t="shared" si="0"/>
        <v>0</v>
      </c>
      <c r="H15" s="106"/>
      <c r="I15" s="131">
        <f t="shared" si="1"/>
        <v>380</v>
      </c>
      <c r="J15" s="131">
        <f t="shared" si="1"/>
        <v>224</v>
      </c>
      <c r="K15" s="131">
        <f t="shared" si="1"/>
        <v>332</v>
      </c>
      <c r="L15" s="107"/>
      <c r="M15" s="108" t="b">
        <f t="shared" si="2"/>
        <v>0</v>
      </c>
    </row>
    <row r="16" spans="1:17" s="109" customFormat="1" ht="13.5" customHeight="1" x14ac:dyDescent="0.2">
      <c r="A16" s="100">
        <v>9</v>
      </c>
      <c r="B16" s="110">
        <f t="shared" si="7"/>
        <v>45028</v>
      </c>
      <c r="C16" s="111">
        <f t="shared" si="3"/>
        <v>9</v>
      </c>
      <c r="D16" s="112">
        <f t="shared" si="4"/>
        <v>0</v>
      </c>
      <c r="E16" s="112">
        <f t="shared" si="5"/>
        <v>0</v>
      </c>
      <c r="F16" s="112">
        <f t="shared" si="6"/>
        <v>0</v>
      </c>
      <c r="G16" s="113">
        <f t="shared" si="0"/>
        <v>0</v>
      </c>
      <c r="H16" s="106"/>
      <c r="I16" s="132">
        <f t="shared" si="1"/>
        <v>415</v>
      </c>
      <c r="J16" s="132">
        <f t="shared" si="1"/>
        <v>245</v>
      </c>
      <c r="K16" s="132">
        <f t="shared" si="1"/>
        <v>364</v>
      </c>
      <c r="L16" s="114"/>
      <c r="M16" s="108" t="b">
        <f t="shared" si="2"/>
        <v>0</v>
      </c>
    </row>
    <row r="17" spans="1:26" s="109" customFormat="1" ht="13.5" customHeight="1" x14ac:dyDescent="0.2">
      <c r="A17" s="99">
        <v>10</v>
      </c>
      <c r="B17" s="102">
        <f t="shared" si="7"/>
        <v>45029</v>
      </c>
      <c r="C17" s="103">
        <f t="shared" si="3"/>
        <v>10</v>
      </c>
      <c r="D17" s="104">
        <f t="shared" si="4"/>
        <v>0</v>
      </c>
      <c r="E17" s="104">
        <f t="shared" si="5"/>
        <v>0</v>
      </c>
      <c r="F17" s="104">
        <f t="shared" si="6"/>
        <v>0</v>
      </c>
      <c r="G17" s="105">
        <f t="shared" si="0"/>
        <v>0</v>
      </c>
      <c r="H17" s="106"/>
      <c r="I17" s="131">
        <f t="shared" si="1"/>
        <v>451</v>
      </c>
      <c r="J17" s="131">
        <f t="shared" si="1"/>
        <v>266</v>
      </c>
      <c r="K17" s="131">
        <f t="shared" si="1"/>
        <v>396</v>
      </c>
      <c r="L17" s="107"/>
      <c r="M17" s="108" t="b">
        <f t="shared" si="2"/>
        <v>0</v>
      </c>
    </row>
    <row r="18" spans="1:26" s="109" customFormat="1" ht="13.5" customHeight="1" x14ac:dyDescent="0.2">
      <c r="A18" s="100">
        <v>11</v>
      </c>
      <c r="B18" s="110">
        <f t="shared" si="7"/>
        <v>45030</v>
      </c>
      <c r="C18" s="111">
        <f t="shared" si="3"/>
        <v>11</v>
      </c>
      <c r="D18" s="112">
        <f t="shared" si="4"/>
        <v>0</v>
      </c>
      <c r="E18" s="112">
        <f t="shared" si="5"/>
        <v>0</v>
      </c>
      <c r="F18" s="112">
        <f t="shared" si="6"/>
        <v>0</v>
      </c>
      <c r="G18" s="113">
        <f t="shared" si="0"/>
        <v>0</v>
      </c>
      <c r="H18" s="106"/>
      <c r="I18" s="132">
        <f t="shared" si="1"/>
        <v>486</v>
      </c>
      <c r="J18" s="132">
        <f t="shared" si="1"/>
        <v>286</v>
      </c>
      <c r="K18" s="132">
        <f t="shared" si="1"/>
        <v>427</v>
      </c>
      <c r="L18" s="114"/>
      <c r="M18" s="108" t="b">
        <f t="shared" si="2"/>
        <v>0</v>
      </c>
    </row>
    <row r="19" spans="1:26" s="109" customFormat="1" ht="13.5" customHeight="1" x14ac:dyDescent="0.2">
      <c r="A19" s="99">
        <v>12</v>
      </c>
      <c r="B19" s="102">
        <f t="shared" si="7"/>
        <v>45031</v>
      </c>
      <c r="C19" s="103">
        <f t="shared" si="3"/>
        <v>11</v>
      </c>
      <c r="D19" s="104">
        <f t="shared" si="4"/>
        <v>1</v>
      </c>
      <c r="E19" s="104">
        <f t="shared" si="5"/>
        <v>0</v>
      </c>
      <c r="F19" s="104">
        <f t="shared" si="6"/>
        <v>0</v>
      </c>
      <c r="G19" s="105">
        <f t="shared" si="0"/>
        <v>0</v>
      </c>
      <c r="H19" s="106"/>
      <c r="I19" s="131">
        <f t="shared" si="1"/>
        <v>516</v>
      </c>
      <c r="J19" s="131">
        <f t="shared" si="1"/>
        <v>302</v>
      </c>
      <c r="K19" s="131">
        <f t="shared" si="1"/>
        <v>453</v>
      </c>
      <c r="L19" s="107"/>
      <c r="M19" s="108" t="b">
        <f t="shared" si="2"/>
        <v>0</v>
      </c>
    </row>
    <row r="20" spans="1:26" s="109" customFormat="1" ht="13.5" customHeight="1" x14ac:dyDescent="0.2">
      <c r="A20" s="100">
        <v>13</v>
      </c>
      <c r="B20" s="110">
        <f t="shared" si="7"/>
        <v>45032</v>
      </c>
      <c r="C20" s="111">
        <f t="shared" si="3"/>
        <v>11</v>
      </c>
      <c r="D20" s="112">
        <f t="shared" si="4"/>
        <v>2</v>
      </c>
      <c r="E20" s="112">
        <f t="shared" si="5"/>
        <v>0</v>
      </c>
      <c r="F20" s="112">
        <f t="shared" si="6"/>
        <v>0</v>
      </c>
      <c r="G20" s="113">
        <f t="shared" si="0"/>
        <v>0</v>
      </c>
      <c r="H20" s="106"/>
      <c r="I20" s="132">
        <f t="shared" si="1"/>
        <v>547</v>
      </c>
      <c r="J20" s="132">
        <f t="shared" si="1"/>
        <v>319</v>
      </c>
      <c r="K20" s="132">
        <f t="shared" si="1"/>
        <v>489</v>
      </c>
      <c r="L20" s="114"/>
      <c r="M20" s="108" t="b">
        <f t="shared" si="2"/>
        <v>0</v>
      </c>
    </row>
    <row r="21" spans="1:26" s="109" customFormat="1" ht="13.5" customHeight="1" x14ac:dyDescent="0.2">
      <c r="A21" s="99">
        <v>14</v>
      </c>
      <c r="B21" s="102">
        <f t="shared" si="7"/>
        <v>45033</v>
      </c>
      <c r="C21" s="103">
        <f t="shared" si="3"/>
        <v>11</v>
      </c>
      <c r="D21" s="104">
        <f t="shared" si="4"/>
        <v>3</v>
      </c>
      <c r="E21" s="104">
        <f t="shared" si="5"/>
        <v>0</v>
      </c>
      <c r="F21" s="104">
        <f t="shared" si="6"/>
        <v>0</v>
      </c>
      <c r="G21" s="105">
        <f t="shared" si="0"/>
        <v>0</v>
      </c>
      <c r="H21" s="106"/>
      <c r="I21" s="131">
        <f t="shared" si="1"/>
        <v>579</v>
      </c>
      <c r="J21" s="131">
        <f t="shared" si="1"/>
        <v>336</v>
      </c>
      <c r="K21" s="131">
        <f t="shared" si="1"/>
        <v>507</v>
      </c>
      <c r="L21" s="107"/>
      <c r="M21" s="108" t="b">
        <f t="shared" si="2"/>
        <v>0</v>
      </c>
    </row>
    <row r="22" spans="1:26" s="109" customFormat="1" ht="13.5" customHeight="1" x14ac:dyDescent="0.2">
      <c r="A22" s="100">
        <v>15</v>
      </c>
      <c r="B22" s="110">
        <f t="shared" si="7"/>
        <v>45034</v>
      </c>
      <c r="C22" s="111">
        <f t="shared" si="3"/>
        <v>11</v>
      </c>
      <c r="D22" s="112">
        <f t="shared" si="4"/>
        <v>4</v>
      </c>
      <c r="E22" s="112">
        <f t="shared" si="5"/>
        <v>0</v>
      </c>
      <c r="F22" s="112">
        <f t="shared" si="6"/>
        <v>0</v>
      </c>
      <c r="G22" s="113">
        <f t="shared" si="0"/>
        <v>0</v>
      </c>
      <c r="H22" s="106"/>
      <c r="I22" s="132">
        <f t="shared" si="1"/>
        <v>612</v>
      </c>
      <c r="J22" s="132">
        <f t="shared" si="1"/>
        <v>353</v>
      </c>
      <c r="K22" s="132">
        <f t="shared" si="1"/>
        <v>534</v>
      </c>
      <c r="L22" s="114"/>
      <c r="M22" s="108" t="b">
        <f t="shared" si="2"/>
        <v>0</v>
      </c>
    </row>
    <row r="23" spans="1:26" s="109" customFormat="1" ht="13.5" customHeight="1" x14ac:dyDescent="0.2">
      <c r="A23" s="99">
        <v>16</v>
      </c>
      <c r="B23" s="102">
        <f t="shared" si="7"/>
        <v>45035</v>
      </c>
      <c r="C23" s="103">
        <f t="shared" si="3"/>
        <v>11</v>
      </c>
      <c r="D23" s="104">
        <f t="shared" si="4"/>
        <v>5</v>
      </c>
      <c r="E23" s="104">
        <f t="shared" si="5"/>
        <v>0</v>
      </c>
      <c r="F23" s="104">
        <f t="shared" si="6"/>
        <v>0</v>
      </c>
      <c r="G23" s="105">
        <f t="shared" si="0"/>
        <v>0</v>
      </c>
      <c r="H23" s="106"/>
      <c r="I23" s="131">
        <f t="shared" si="1"/>
        <v>645</v>
      </c>
      <c r="J23" s="131">
        <f t="shared" si="1"/>
        <v>370</v>
      </c>
      <c r="K23" s="131">
        <f t="shared" si="1"/>
        <v>562</v>
      </c>
      <c r="L23" s="107"/>
      <c r="M23" s="108" t="b">
        <f t="shared" si="2"/>
        <v>0</v>
      </c>
    </row>
    <row r="24" spans="1:26" s="109" customFormat="1" ht="13.5" customHeight="1" x14ac:dyDescent="0.2">
      <c r="A24" s="100">
        <v>17</v>
      </c>
      <c r="B24" s="110">
        <f t="shared" si="7"/>
        <v>45036</v>
      </c>
      <c r="C24" s="111">
        <f t="shared" si="3"/>
        <v>11</v>
      </c>
      <c r="D24" s="112">
        <f t="shared" si="4"/>
        <v>6</v>
      </c>
      <c r="E24" s="112">
        <f t="shared" si="5"/>
        <v>0</v>
      </c>
      <c r="F24" s="112">
        <f t="shared" si="6"/>
        <v>0</v>
      </c>
      <c r="G24" s="113">
        <f t="shared" si="0"/>
        <v>0</v>
      </c>
      <c r="H24" s="106"/>
      <c r="I24" s="132">
        <f t="shared" si="1"/>
        <v>678</v>
      </c>
      <c r="J24" s="132">
        <f t="shared" si="1"/>
        <v>388</v>
      </c>
      <c r="K24" s="132">
        <f t="shared" si="1"/>
        <v>585</v>
      </c>
      <c r="L24" s="114"/>
      <c r="M24" s="108" t="b">
        <f t="shared" si="2"/>
        <v>0</v>
      </c>
    </row>
    <row r="25" spans="1:26" s="109" customFormat="1" ht="13.5" customHeight="1" x14ac:dyDescent="0.2">
      <c r="A25" s="99">
        <v>18</v>
      </c>
      <c r="B25" s="102">
        <f t="shared" si="7"/>
        <v>45037</v>
      </c>
      <c r="C25" s="103">
        <f t="shared" si="3"/>
        <v>11</v>
      </c>
      <c r="D25" s="104">
        <f t="shared" si="4"/>
        <v>7</v>
      </c>
      <c r="E25" s="104">
        <f t="shared" si="5"/>
        <v>0</v>
      </c>
      <c r="F25" s="104">
        <f t="shared" si="6"/>
        <v>0</v>
      </c>
      <c r="G25" s="105">
        <f t="shared" si="0"/>
        <v>0</v>
      </c>
      <c r="H25" s="106"/>
      <c r="I25" s="131">
        <f t="shared" si="1"/>
        <v>707</v>
      </c>
      <c r="J25" s="131">
        <f t="shared" si="1"/>
        <v>406</v>
      </c>
      <c r="K25" s="131">
        <f t="shared" si="1"/>
        <v>601</v>
      </c>
      <c r="L25" s="107"/>
      <c r="M25" s="108" t="b">
        <f t="shared" si="2"/>
        <v>0</v>
      </c>
    </row>
    <row r="26" spans="1:26" s="109" customFormat="1" ht="13.5" customHeight="1" x14ac:dyDescent="0.2">
      <c r="A26" s="100">
        <v>19</v>
      </c>
      <c r="B26" s="110">
        <f t="shared" si="7"/>
        <v>45038</v>
      </c>
      <c r="C26" s="111">
        <f t="shared" si="3"/>
        <v>11</v>
      </c>
      <c r="D26" s="112">
        <f t="shared" si="4"/>
        <v>8</v>
      </c>
      <c r="E26" s="112">
        <f t="shared" si="5"/>
        <v>0</v>
      </c>
      <c r="F26" s="112">
        <f t="shared" si="6"/>
        <v>0</v>
      </c>
      <c r="G26" s="113">
        <f t="shared" si="0"/>
        <v>0</v>
      </c>
      <c r="H26" s="106"/>
      <c r="I26" s="132">
        <f t="shared" si="1"/>
        <v>727</v>
      </c>
      <c r="J26" s="132">
        <f t="shared" si="1"/>
        <v>425</v>
      </c>
      <c r="K26" s="132">
        <f t="shared" si="1"/>
        <v>616</v>
      </c>
      <c r="L26" s="114"/>
      <c r="M26" s="108" t="b">
        <f t="shared" si="2"/>
        <v>0</v>
      </c>
    </row>
    <row r="27" spans="1:26" s="109" customFormat="1" ht="13.5" customHeight="1" x14ac:dyDescent="0.2">
      <c r="A27" s="99">
        <v>20</v>
      </c>
      <c r="B27" s="102">
        <f t="shared" si="7"/>
        <v>45039</v>
      </c>
      <c r="C27" s="103">
        <f t="shared" si="3"/>
        <v>11</v>
      </c>
      <c r="D27" s="104">
        <f t="shared" si="4"/>
        <v>9</v>
      </c>
      <c r="E27" s="104">
        <f t="shared" si="5"/>
        <v>0</v>
      </c>
      <c r="F27" s="104">
        <f t="shared" si="6"/>
        <v>0</v>
      </c>
      <c r="G27" s="105">
        <f t="shared" si="0"/>
        <v>0</v>
      </c>
      <c r="H27" s="106"/>
      <c r="I27" s="131">
        <f t="shared" si="1"/>
        <v>743</v>
      </c>
      <c r="J27" s="131">
        <f t="shared" si="1"/>
        <v>442</v>
      </c>
      <c r="K27" s="131">
        <f t="shared" si="1"/>
        <v>633</v>
      </c>
      <c r="L27" s="107"/>
      <c r="M27" s="108" t="b">
        <f t="shared" si="2"/>
        <v>0</v>
      </c>
    </row>
    <row r="28" spans="1:26" s="109" customFormat="1" ht="13.5" customHeight="1" x14ac:dyDescent="0.2">
      <c r="A28" s="100">
        <v>21</v>
      </c>
      <c r="B28" s="110">
        <f t="shared" si="7"/>
        <v>45040</v>
      </c>
      <c r="C28" s="111">
        <f t="shared" si="3"/>
        <v>11</v>
      </c>
      <c r="D28" s="112">
        <f t="shared" si="4"/>
        <v>9</v>
      </c>
      <c r="E28" s="112">
        <f t="shared" si="5"/>
        <v>1</v>
      </c>
      <c r="F28" s="112">
        <f t="shared" si="6"/>
        <v>0</v>
      </c>
      <c r="G28" s="113">
        <f t="shared" si="0"/>
        <v>0</v>
      </c>
      <c r="H28" s="106"/>
      <c r="I28" s="132">
        <f t="shared" si="1"/>
        <v>750</v>
      </c>
      <c r="J28" s="132">
        <f t="shared" si="1"/>
        <v>450</v>
      </c>
      <c r="K28" s="132">
        <f t="shared" si="1"/>
        <v>644</v>
      </c>
      <c r="L28" s="114"/>
      <c r="M28" s="108" t="b">
        <f t="shared" si="2"/>
        <v>0</v>
      </c>
      <c r="N28" s="115"/>
    </row>
    <row r="29" spans="1:26" s="109" customFormat="1" ht="13.5" customHeight="1" thickBot="1" x14ac:dyDescent="0.25">
      <c r="A29" s="101">
        <v>30</v>
      </c>
      <c r="B29" s="116">
        <f t="shared" si="7"/>
        <v>45049</v>
      </c>
      <c r="C29" s="117">
        <f t="shared" si="3"/>
        <v>11</v>
      </c>
      <c r="D29" s="118">
        <f t="shared" si="4"/>
        <v>9</v>
      </c>
      <c r="E29" s="118">
        <f t="shared" si="5"/>
        <v>9</v>
      </c>
      <c r="F29" s="118">
        <f t="shared" si="6"/>
        <v>1</v>
      </c>
      <c r="G29" s="119">
        <f t="shared" si="0"/>
        <v>0</v>
      </c>
      <c r="H29" s="120"/>
      <c r="I29" s="133">
        <f t="shared" si="1"/>
        <v>806</v>
      </c>
      <c r="J29" s="133">
        <f t="shared" si="1"/>
        <v>479</v>
      </c>
      <c r="K29" s="133">
        <f t="shared" si="1"/>
        <v>691</v>
      </c>
      <c r="L29" s="121"/>
      <c r="M29" s="108" t="b">
        <f t="shared" si="2"/>
        <v>0</v>
      </c>
      <c r="N29" s="115"/>
    </row>
    <row r="30" spans="1:26" ht="8.25" customHeight="1" x14ac:dyDescent="0.2">
      <c r="A30" s="65"/>
      <c r="B30" s="65"/>
      <c r="C30" s="64"/>
      <c r="D30" s="64"/>
      <c r="E30" s="64"/>
      <c r="F30" s="64"/>
      <c r="G30" s="64"/>
      <c r="H30" s="64"/>
      <c r="I30" s="66"/>
      <c r="J30" s="67"/>
      <c r="K30" s="64"/>
      <c r="L30" s="66"/>
      <c r="M30" s="67"/>
      <c r="N30" s="67"/>
      <c r="O30" s="64"/>
      <c r="P30" s="66"/>
      <c r="Q30" s="67"/>
      <c r="R30" s="31"/>
      <c r="S30" s="68"/>
      <c r="T30" s="68"/>
      <c r="U30" s="68"/>
      <c r="V30" s="68"/>
      <c r="W30" s="68"/>
      <c r="X30" s="68"/>
      <c r="Y30" s="68"/>
      <c r="Z30" s="68"/>
    </row>
    <row r="31" spans="1:26" x14ac:dyDescent="0.2">
      <c r="A31" s="89" t="s">
        <v>17</v>
      </c>
    </row>
  </sheetData>
  <sheetProtection algorithmName="SHA-512" hashValue="57Fvw6h/92IZVi2rRlONDa1OQQQBsls0mclYiBNfJJwkJXOFcwBnleNsFVuT4ri/Gai8gzKJMj3fAIIx1niDnw==" saltValue="K9Iz0Srwm/ZSuWNB8dnc8w==" spinCount="100000" sheet="1" objects="1" scenarios="1"/>
  <mergeCells count="3">
    <mergeCell ref="I4:L4"/>
    <mergeCell ref="I1:L1"/>
    <mergeCell ref="I2:L2"/>
  </mergeCells>
  <phoneticPr fontId="0" type="noConversion"/>
  <conditionalFormatting sqref="A8:B30">
    <cfRule type="expression" dxfId="3" priority="1" stopIfTrue="1">
      <formula>D8&gt;0</formula>
    </cfRule>
  </conditionalFormatting>
  <conditionalFormatting sqref="S8:V30">
    <cfRule type="cellIs" dxfId="2" priority="2" stopIfTrue="1" operator="greaterThan">
      <formula>0</formula>
    </cfRule>
    <cfRule type="cellIs" dxfId="1" priority="3" stopIfTrue="1" operator="between">
      <formula>-13.7603</formula>
      <formula>-13.7603*2</formula>
    </cfRule>
    <cfRule type="cellIs" dxfId="0" priority="4" stopIfTrue="1" operator="lessThan">
      <formula>-13.7603*2+0.0001</formula>
    </cfRule>
  </conditionalFormatting>
  <pageMargins left="0.78740157480314965" right="0.78740157480314965" top="0.31496062992125984" bottom="0.51181102362204722" header="0.27559055118110237" footer="0.39370078740157483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AC36"/>
  <sheetViews>
    <sheetView showGridLines="0" showZeros="0" zoomScale="130" zoomScaleNormal="130" workbookViewId="0">
      <selection activeCell="G28" sqref="G28"/>
    </sheetView>
  </sheetViews>
  <sheetFormatPr baseColWidth="10" defaultRowHeight="12.75" x14ac:dyDescent="0.2"/>
  <cols>
    <col min="1" max="1" width="5.140625" bestFit="1" customWidth="1"/>
    <col min="2" max="2" width="5.42578125" customWidth="1"/>
    <col min="3" max="3" width="0.7109375" customWidth="1"/>
    <col min="4" max="21" width="6.42578125" customWidth="1"/>
    <col min="22" max="23" width="6.42578125" hidden="1" customWidth="1"/>
    <col min="24" max="24" width="2.140625" customWidth="1"/>
    <col min="25" max="26" width="10.140625" bestFit="1" customWidth="1"/>
    <col min="27" max="27" width="3.5703125" bestFit="1" customWidth="1"/>
    <col min="28" max="28" width="2" bestFit="1" customWidth="1"/>
    <col min="29" max="29" width="4" customWidth="1"/>
  </cols>
  <sheetData>
    <row r="1" spans="1:29" ht="20.25" x14ac:dyDescent="0.3">
      <c r="D1" s="134" t="str">
        <f>Tagespreise!I2</f>
        <v>Wintersaison 2022/23</v>
      </c>
      <c r="E1" s="73"/>
      <c r="F1" s="72"/>
    </row>
    <row r="2" spans="1:29" ht="6.75" customHeight="1" x14ac:dyDescent="0.2"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9" ht="20.25" thickBot="1" x14ac:dyDescent="0.45">
      <c r="D3" s="38" t="s">
        <v>15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5"/>
      <c r="T3" s="35"/>
      <c r="U3" s="35"/>
      <c r="V3" s="35"/>
      <c r="W3" s="35"/>
      <c r="AA3" s="1"/>
    </row>
    <row r="4" spans="1:29" ht="15.75" thickBot="1" x14ac:dyDescent="0.25">
      <c r="D4" s="96" t="s">
        <v>0</v>
      </c>
      <c r="E4" s="50"/>
      <c r="F4" s="50"/>
      <c r="G4" s="50"/>
      <c r="H4" s="51"/>
      <c r="I4" s="96" t="s">
        <v>1</v>
      </c>
      <c r="J4" s="50"/>
      <c r="K4" s="50"/>
      <c r="L4" s="50"/>
      <c r="M4" s="51"/>
      <c r="N4" s="156" t="s">
        <v>22</v>
      </c>
      <c r="O4" s="157"/>
      <c r="P4" s="157"/>
      <c r="Q4" s="157"/>
      <c r="R4" s="158"/>
      <c r="S4" s="97"/>
      <c r="T4" s="52"/>
      <c r="U4" s="52"/>
      <c r="V4" s="52"/>
      <c r="W4" s="53"/>
      <c r="Y4" s="153" t="s">
        <v>8</v>
      </c>
      <c r="Z4" s="154"/>
      <c r="AA4" s="154"/>
      <c r="AB4" s="155"/>
      <c r="AC4" s="2"/>
    </row>
    <row r="5" spans="1:29" ht="13.5" thickBot="1" x14ac:dyDescent="0.25">
      <c r="D5" s="54" t="s">
        <v>2</v>
      </c>
      <c r="E5" s="55" t="s">
        <v>10</v>
      </c>
      <c r="F5" s="55" t="s">
        <v>3</v>
      </c>
      <c r="G5" s="136" t="s">
        <v>14</v>
      </c>
      <c r="H5" s="139" t="s">
        <v>9</v>
      </c>
      <c r="I5" s="54" t="s">
        <v>2</v>
      </c>
      <c r="J5" s="55" t="s">
        <v>10</v>
      </c>
      <c r="K5" s="55" t="s">
        <v>3</v>
      </c>
      <c r="L5" s="136" t="s">
        <v>14</v>
      </c>
      <c r="M5" s="139" t="s">
        <v>9</v>
      </c>
      <c r="N5" s="54" t="s">
        <v>2</v>
      </c>
      <c r="O5" s="55" t="s">
        <v>10</v>
      </c>
      <c r="P5" s="55" t="s">
        <v>3</v>
      </c>
      <c r="Q5" s="136" t="s">
        <v>14</v>
      </c>
      <c r="R5" s="139" t="s">
        <v>9</v>
      </c>
      <c r="S5" s="54"/>
      <c r="T5" s="55"/>
      <c r="U5" s="55"/>
      <c r="V5" s="55" t="s">
        <v>7</v>
      </c>
      <c r="W5" s="56" t="s">
        <v>9</v>
      </c>
      <c r="Y5" s="4"/>
      <c r="Z5" s="5"/>
      <c r="AA5" s="6" t="s">
        <v>9</v>
      </c>
      <c r="AB5" s="7">
        <v>5</v>
      </c>
      <c r="AC5" s="2" t="str">
        <f>IF(Z5="","",Z5-Y5+1)</f>
        <v/>
      </c>
    </row>
    <row r="6" spans="1:29" x14ac:dyDescent="0.2">
      <c r="A6" s="80">
        <v>0.25</v>
      </c>
      <c r="B6" s="81" t="s">
        <v>4</v>
      </c>
      <c r="C6" s="3"/>
      <c r="D6" s="40">
        <v>30.5</v>
      </c>
      <c r="E6" s="41">
        <f>D6</f>
        <v>30.5</v>
      </c>
      <c r="F6" s="41">
        <f>D6</f>
        <v>30.5</v>
      </c>
      <c r="G6" s="137">
        <v>30.5</v>
      </c>
      <c r="H6" s="140">
        <v>30.5</v>
      </c>
      <c r="I6" s="43">
        <v>30.5</v>
      </c>
      <c r="J6" s="43">
        <f>I6</f>
        <v>30.5</v>
      </c>
      <c r="K6" s="41">
        <f>I6</f>
        <v>30.5</v>
      </c>
      <c r="L6" s="137">
        <v>30.5</v>
      </c>
      <c r="M6" s="140">
        <v>21.5</v>
      </c>
      <c r="N6" s="43">
        <v>30.5</v>
      </c>
      <c r="O6" s="41">
        <f>N6</f>
        <v>30.5</v>
      </c>
      <c r="P6" s="41">
        <f>N6</f>
        <v>30.5</v>
      </c>
      <c r="Q6" s="137">
        <v>30.5</v>
      </c>
      <c r="R6" s="140">
        <v>30.5</v>
      </c>
      <c r="S6" s="40"/>
      <c r="T6" s="41"/>
      <c r="U6" s="41"/>
      <c r="V6" s="40">
        <f t="shared" ref="V6:W21" si="0">Q6</f>
        <v>30.5</v>
      </c>
      <c r="W6" s="40">
        <f t="shared" si="0"/>
        <v>30.5</v>
      </c>
      <c r="Y6" s="9">
        <v>44897</v>
      </c>
      <c r="Z6" s="10">
        <v>44918</v>
      </c>
      <c r="AA6" s="11" t="s">
        <v>14</v>
      </c>
      <c r="AB6" s="12">
        <v>4</v>
      </c>
      <c r="AC6" s="2">
        <f t="shared" ref="AC6:AC9" si="1">Z6-Y6+1</f>
        <v>22</v>
      </c>
    </row>
    <row r="7" spans="1:29" x14ac:dyDescent="0.2">
      <c r="A7" s="82">
        <v>0.5</v>
      </c>
      <c r="B7" s="83" t="s">
        <v>5</v>
      </c>
      <c r="C7" s="8"/>
      <c r="D7" s="42">
        <v>51</v>
      </c>
      <c r="E7" s="43">
        <f t="shared" ref="E7:E30" si="2">D7</f>
        <v>51</v>
      </c>
      <c r="F7" s="43">
        <f>D7</f>
        <v>51</v>
      </c>
      <c r="G7" s="138">
        <v>51</v>
      </c>
      <c r="H7" s="141">
        <v>36</v>
      </c>
      <c r="I7" s="43">
        <v>31</v>
      </c>
      <c r="J7" s="43">
        <f>I7</f>
        <v>31</v>
      </c>
      <c r="K7" s="43">
        <f>I7</f>
        <v>31</v>
      </c>
      <c r="L7" s="138">
        <v>31</v>
      </c>
      <c r="M7" s="142">
        <v>21.5</v>
      </c>
      <c r="N7" s="135">
        <v>46</v>
      </c>
      <c r="O7" s="43">
        <f>N7</f>
        <v>46</v>
      </c>
      <c r="P7" s="43">
        <f>N7</f>
        <v>46</v>
      </c>
      <c r="Q7" s="138">
        <v>46</v>
      </c>
      <c r="R7" s="143">
        <v>32.5</v>
      </c>
      <c r="S7" s="42"/>
      <c r="T7" s="43"/>
      <c r="U7" s="43"/>
      <c r="V7" s="42">
        <f t="shared" si="0"/>
        <v>46</v>
      </c>
      <c r="W7" s="42">
        <f t="shared" si="0"/>
        <v>32.5</v>
      </c>
      <c r="Y7" s="9">
        <v>44919</v>
      </c>
      <c r="Z7" s="10">
        <v>45016</v>
      </c>
      <c r="AA7" s="11" t="s">
        <v>2</v>
      </c>
      <c r="AB7" s="12">
        <v>1</v>
      </c>
      <c r="AC7" s="2">
        <f t="shared" si="1"/>
        <v>98</v>
      </c>
    </row>
    <row r="8" spans="1:29" x14ac:dyDescent="0.2">
      <c r="A8" s="84">
        <v>1</v>
      </c>
      <c r="B8" s="83"/>
      <c r="C8" s="8"/>
      <c r="D8" s="76">
        <v>67</v>
      </c>
      <c r="E8" s="43">
        <f t="shared" si="2"/>
        <v>67</v>
      </c>
      <c r="F8" s="43">
        <f t="shared" ref="F8:F30" si="3">D8</f>
        <v>67</v>
      </c>
      <c r="G8" s="138">
        <v>64</v>
      </c>
      <c r="H8" s="141">
        <v>47.5</v>
      </c>
      <c r="I8" s="43">
        <v>40</v>
      </c>
      <c r="J8" s="43">
        <f t="shared" ref="J8:J30" si="4">I8</f>
        <v>40</v>
      </c>
      <c r="K8" s="43">
        <f t="shared" ref="K8:K30" si="5">I8</f>
        <v>40</v>
      </c>
      <c r="L8" s="138">
        <v>37.5</v>
      </c>
      <c r="M8" s="142">
        <v>28.5</v>
      </c>
      <c r="N8" s="135">
        <v>60.5</v>
      </c>
      <c r="O8" s="43">
        <f t="shared" ref="O8:O30" si="6">N8</f>
        <v>60.5</v>
      </c>
      <c r="P8" s="43">
        <f t="shared" ref="P8:P30" si="7">N8</f>
        <v>60.5</v>
      </c>
      <c r="Q8" s="138">
        <v>58.5</v>
      </c>
      <c r="R8" s="143">
        <v>42.5</v>
      </c>
      <c r="S8" s="42"/>
      <c r="T8" s="43"/>
      <c r="U8" s="43"/>
      <c r="V8" s="42">
        <f t="shared" si="0"/>
        <v>58.5</v>
      </c>
      <c r="W8" s="42">
        <f t="shared" si="0"/>
        <v>42.5</v>
      </c>
      <c r="Y8" s="9">
        <v>45017</v>
      </c>
      <c r="Z8" s="10">
        <v>45030</v>
      </c>
      <c r="AA8" s="11" t="s">
        <v>14</v>
      </c>
      <c r="AB8" s="12">
        <v>4</v>
      </c>
      <c r="AC8" s="2">
        <f t="shared" si="1"/>
        <v>14</v>
      </c>
    </row>
    <row r="9" spans="1:29" x14ac:dyDescent="0.2">
      <c r="A9" s="82">
        <v>1.5</v>
      </c>
      <c r="B9" s="83" t="s">
        <v>5</v>
      </c>
      <c r="C9" s="8"/>
      <c r="D9" s="76">
        <v>110</v>
      </c>
      <c r="E9" s="43">
        <f t="shared" si="2"/>
        <v>110</v>
      </c>
      <c r="F9" s="43">
        <f t="shared" si="3"/>
        <v>110</v>
      </c>
      <c r="G9" s="138">
        <v>100</v>
      </c>
      <c r="H9" s="141">
        <v>77</v>
      </c>
      <c r="I9" s="43">
        <v>66</v>
      </c>
      <c r="J9" s="43">
        <f t="shared" si="4"/>
        <v>66</v>
      </c>
      <c r="K9" s="43">
        <f t="shared" si="5"/>
        <v>66</v>
      </c>
      <c r="L9" s="138">
        <v>58</v>
      </c>
      <c r="M9" s="142">
        <v>46</v>
      </c>
      <c r="N9" s="135">
        <v>99</v>
      </c>
      <c r="O9" s="43">
        <f t="shared" si="6"/>
        <v>99</v>
      </c>
      <c r="P9" s="43">
        <f t="shared" si="7"/>
        <v>99</v>
      </c>
      <c r="Q9" s="138">
        <v>91</v>
      </c>
      <c r="R9" s="143">
        <v>69</v>
      </c>
      <c r="S9" s="42"/>
      <c r="T9" s="43"/>
      <c r="U9" s="43"/>
      <c r="V9" s="42">
        <f t="shared" si="0"/>
        <v>91</v>
      </c>
      <c r="W9" s="42">
        <f t="shared" si="0"/>
        <v>69</v>
      </c>
      <c r="Y9" s="9">
        <v>45031</v>
      </c>
      <c r="Z9" s="10">
        <v>45039</v>
      </c>
      <c r="AA9" s="11" t="s">
        <v>9</v>
      </c>
      <c r="AB9" s="12">
        <v>5</v>
      </c>
      <c r="AC9" s="2">
        <f t="shared" si="1"/>
        <v>9</v>
      </c>
    </row>
    <row r="10" spans="1:29" x14ac:dyDescent="0.2">
      <c r="A10" s="84">
        <v>2</v>
      </c>
      <c r="B10" s="85"/>
      <c r="D10" s="76">
        <v>132</v>
      </c>
      <c r="E10" s="43">
        <f t="shared" si="2"/>
        <v>132</v>
      </c>
      <c r="F10" s="43">
        <f t="shared" si="3"/>
        <v>132</v>
      </c>
      <c r="G10" s="138">
        <v>117</v>
      </c>
      <c r="H10" s="141">
        <v>92</v>
      </c>
      <c r="I10" s="43">
        <v>79</v>
      </c>
      <c r="J10" s="43">
        <f t="shared" si="4"/>
        <v>79</v>
      </c>
      <c r="K10" s="43">
        <f t="shared" si="5"/>
        <v>79</v>
      </c>
      <c r="L10" s="138">
        <v>69</v>
      </c>
      <c r="M10" s="142">
        <v>56</v>
      </c>
      <c r="N10" s="135">
        <v>119</v>
      </c>
      <c r="O10" s="43">
        <f t="shared" si="6"/>
        <v>119</v>
      </c>
      <c r="P10" s="43">
        <f t="shared" si="7"/>
        <v>119</v>
      </c>
      <c r="Q10" s="138">
        <v>108</v>
      </c>
      <c r="R10" s="143">
        <v>83</v>
      </c>
      <c r="S10" s="42"/>
      <c r="T10" s="43"/>
      <c r="U10" s="43"/>
      <c r="V10" s="42">
        <f t="shared" si="0"/>
        <v>108</v>
      </c>
      <c r="W10" s="42">
        <f t="shared" si="0"/>
        <v>83</v>
      </c>
      <c r="Y10" s="9"/>
      <c r="Z10" s="10"/>
      <c r="AA10" s="11"/>
      <c r="AB10" s="12"/>
      <c r="AC10" s="2" t="str">
        <f>IF(Z10="","",Z10-Y10+1)</f>
        <v/>
      </c>
    </row>
    <row r="11" spans="1:29" x14ac:dyDescent="0.2">
      <c r="A11" s="84">
        <v>3</v>
      </c>
      <c r="B11" s="85"/>
      <c r="D11" s="76">
        <v>194</v>
      </c>
      <c r="E11" s="43">
        <f t="shared" si="2"/>
        <v>194</v>
      </c>
      <c r="F11" s="43">
        <f t="shared" si="3"/>
        <v>194</v>
      </c>
      <c r="G11" s="138">
        <v>168</v>
      </c>
      <c r="H11" s="141">
        <v>136</v>
      </c>
      <c r="I11" s="43">
        <v>116</v>
      </c>
      <c r="J11" s="43">
        <f t="shared" si="4"/>
        <v>116</v>
      </c>
      <c r="K11" s="43">
        <f t="shared" si="5"/>
        <v>116</v>
      </c>
      <c r="L11" s="138">
        <v>99</v>
      </c>
      <c r="M11" s="142">
        <v>81</v>
      </c>
      <c r="N11" s="135">
        <v>172</v>
      </c>
      <c r="O11" s="43">
        <f t="shared" si="6"/>
        <v>172</v>
      </c>
      <c r="P11" s="43">
        <f t="shared" si="7"/>
        <v>172</v>
      </c>
      <c r="Q11" s="138">
        <v>149</v>
      </c>
      <c r="R11" s="143">
        <v>121</v>
      </c>
      <c r="S11" s="42"/>
      <c r="T11" s="43"/>
      <c r="U11" s="43"/>
      <c r="V11" s="42">
        <f t="shared" si="0"/>
        <v>149</v>
      </c>
      <c r="W11" s="42">
        <f t="shared" si="0"/>
        <v>121</v>
      </c>
      <c r="Y11" s="9"/>
      <c r="Z11" s="10"/>
      <c r="AA11" s="11"/>
      <c r="AB11" s="12"/>
      <c r="AC11" s="2" t="str">
        <f t="shared" ref="AC11:AC13" si="8">IF(Z11="","",Z11-Y11+1)</f>
        <v/>
      </c>
    </row>
    <row r="12" spans="1:29" x14ac:dyDescent="0.2">
      <c r="A12" s="84">
        <v>4</v>
      </c>
      <c r="B12" s="85"/>
      <c r="D12" s="76">
        <v>254</v>
      </c>
      <c r="E12" s="43">
        <f t="shared" si="2"/>
        <v>254</v>
      </c>
      <c r="F12" s="43">
        <f t="shared" si="3"/>
        <v>254</v>
      </c>
      <c r="G12" s="138">
        <v>218</v>
      </c>
      <c r="H12" s="141">
        <v>178</v>
      </c>
      <c r="I12" s="43">
        <v>153</v>
      </c>
      <c r="J12" s="43">
        <f t="shared" si="4"/>
        <v>153</v>
      </c>
      <c r="K12" s="43">
        <f t="shared" si="5"/>
        <v>153</v>
      </c>
      <c r="L12" s="138">
        <v>127</v>
      </c>
      <c r="M12" s="142">
        <v>106</v>
      </c>
      <c r="N12" s="135">
        <v>220</v>
      </c>
      <c r="O12" s="43">
        <f t="shared" si="6"/>
        <v>220</v>
      </c>
      <c r="P12" s="43">
        <f t="shared" si="7"/>
        <v>220</v>
      </c>
      <c r="Q12" s="138">
        <v>190</v>
      </c>
      <c r="R12" s="143">
        <v>154</v>
      </c>
      <c r="S12" s="42"/>
      <c r="T12" s="43"/>
      <c r="U12" s="43"/>
      <c r="V12" s="42">
        <f t="shared" si="0"/>
        <v>190</v>
      </c>
      <c r="W12" s="42">
        <f t="shared" si="0"/>
        <v>154</v>
      </c>
      <c r="Y12" s="9"/>
      <c r="Z12" s="10"/>
      <c r="AA12" s="11"/>
      <c r="AB12" s="12"/>
      <c r="AC12" s="2" t="str">
        <f t="shared" si="8"/>
        <v/>
      </c>
    </row>
    <row r="13" spans="1:29" x14ac:dyDescent="0.2">
      <c r="A13" s="84">
        <v>5</v>
      </c>
      <c r="B13" s="85"/>
      <c r="D13" s="76">
        <v>308</v>
      </c>
      <c r="E13" s="43">
        <f t="shared" si="2"/>
        <v>308</v>
      </c>
      <c r="F13" s="43">
        <f t="shared" si="3"/>
        <v>308</v>
      </c>
      <c r="G13" s="138">
        <v>263</v>
      </c>
      <c r="H13" s="141">
        <v>215</v>
      </c>
      <c r="I13" s="43">
        <v>185</v>
      </c>
      <c r="J13" s="43">
        <f t="shared" si="4"/>
        <v>185</v>
      </c>
      <c r="K13" s="43">
        <f t="shared" si="5"/>
        <v>185</v>
      </c>
      <c r="L13" s="138">
        <v>154</v>
      </c>
      <c r="M13" s="142">
        <v>130</v>
      </c>
      <c r="N13" s="135">
        <v>266</v>
      </c>
      <c r="O13" s="43">
        <f t="shared" si="6"/>
        <v>266</v>
      </c>
      <c r="P13" s="43">
        <f t="shared" si="7"/>
        <v>266</v>
      </c>
      <c r="Q13" s="138">
        <v>229</v>
      </c>
      <c r="R13" s="143">
        <v>176</v>
      </c>
      <c r="S13" s="42"/>
      <c r="T13" s="43"/>
      <c r="U13" s="43"/>
      <c r="V13" s="42">
        <f t="shared" si="0"/>
        <v>229</v>
      </c>
      <c r="W13" s="42">
        <f t="shared" si="0"/>
        <v>176</v>
      </c>
      <c r="Y13" s="9"/>
      <c r="Z13" s="10"/>
      <c r="AA13" s="11"/>
      <c r="AB13" s="12"/>
      <c r="AC13" s="2" t="str">
        <f t="shared" si="8"/>
        <v/>
      </c>
    </row>
    <row r="14" spans="1:29" x14ac:dyDescent="0.2">
      <c r="A14" s="84">
        <v>6</v>
      </c>
      <c r="B14" s="85"/>
      <c r="D14" s="76">
        <v>358</v>
      </c>
      <c r="E14" s="43">
        <f t="shared" si="2"/>
        <v>358</v>
      </c>
      <c r="F14" s="43">
        <f t="shared" si="3"/>
        <v>358</v>
      </c>
      <c r="G14" s="138">
        <v>307</v>
      </c>
      <c r="H14" s="141">
        <v>252</v>
      </c>
      <c r="I14" s="43">
        <v>215</v>
      </c>
      <c r="J14" s="43">
        <f t="shared" si="4"/>
        <v>215</v>
      </c>
      <c r="K14" s="43">
        <f t="shared" si="5"/>
        <v>215</v>
      </c>
      <c r="L14" s="138">
        <v>179</v>
      </c>
      <c r="M14" s="142">
        <v>150</v>
      </c>
      <c r="N14" s="135">
        <v>309</v>
      </c>
      <c r="O14" s="43">
        <f t="shared" si="6"/>
        <v>309</v>
      </c>
      <c r="P14" s="43">
        <f t="shared" si="7"/>
        <v>309</v>
      </c>
      <c r="Q14" s="138">
        <v>267</v>
      </c>
      <c r="R14" s="143">
        <v>216</v>
      </c>
      <c r="S14" s="42"/>
      <c r="T14" s="43"/>
      <c r="U14" s="43"/>
      <c r="V14" s="42">
        <f t="shared" si="0"/>
        <v>267</v>
      </c>
      <c r="W14" s="42">
        <f t="shared" si="0"/>
        <v>216</v>
      </c>
      <c r="Y14" s="9"/>
      <c r="Z14" s="10"/>
      <c r="AA14" s="11"/>
      <c r="AB14" s="12"/>
      <c r="AC14" s="2"/>
    </row>
    <row r="15" spans="1:29" x14ac:dyDescent="0.2">
      <c r="A15" s="84">
        <v>7</v>
      </c>
      <c r="B15" s="85"/>
      <c r="D15" s="76">
        <v>402</v>
      </c>
      <c r="E15" s="43">
        <f t="shared" si="2"/>
        <v>402</v>
      </c>
      <c r="F15" s="43">
        <f t="shared" si="3"/>
        <v>402</v>
      </c>
      <c r="G15" s="138">
        <v>345</v>
      </c>
      <c r="H15" s="141">
        <v>284</v>
      </c>
      <c r="I15" s="43">
        <v>242</v>
      </c>
      <c r="J15" s="43">
        <f t="shared" si="4"/>
        <v>242</v>
      </c>
      <c r="K15" s="43">
        <f t="shared" si="5"/>
        <v>242</v>
      </c>
      <c r="L15" s="138">
        <v>202</v>
      </c>
      <c r="M15" s="142">
        <v>169</v>
      </c>
      <c r="N15" s="135">
        <v>346</v>
      </c>
      <c r="O15" s="43">
        <f t="shared" si="6"/>
        <v>346</v>
      </c>
      <c r="P15" s="43">
        <f t="shared" si="7"/>
        <v>346</v>
      </c>
      <c r="Q15" s="138">
        <v>300</v>
      </c>
      <c r="R15" s="143">
        <v>243</v>
      </c>
      <c r="S15" s="42"/>
      <c r="T15" s="43"/>
      <c r="U15" s="43"/>
      <c r="V15" s="42">
        <f t="shared" si="0"/>
        <v>300</v>
      </c>
      <c r="W15" s="42">
        <f t="shared" si="0"/>
        <v>243</v>
      </c>
      <c r="Y15" s="33"/>
      <c r="Z15" s="33"/>
      <c r="AA15" s="33"/>
      <c r="AB15" s="33"/>
      <c r="AC15" s="34">
        <f>SUM(AC5:AC13)</f>
        <v>143</v>
      </c>
    </row>
    <row r="16" spans="1:29" x14ac:dyDescent="0.2">
      <c r="A16" s="84">
        <v>8</v>
      </c>
      <c r="B16" s="85"/>
      <c r="D16" s="76">
        <v>444</v>
      </c>
      <c r="E16" s="43">
        <f t="shared" si="2"/>
        <v>444</v>
      </c>
      <c r="F16" s="43">
        <f t="shared" si="3"/>
        <v>444</v>
      </c>
      <c r="G16" s="138">
        <v>380</v>
      </c>
      <c r="H16" s="141">
        <v>315</v>
      </c>
      <c r="I16" s="43">
        <v>266</v>
      </c>
      <c r="J16" s="43">
        <f t="shared" si="4"/>
        <v>266</v>
      </c>
      <c r="K16" s="43">
        <f t="shared" si="5"/>
        <v>266</v>
      </c>
      <c r="L16" s="138">
        <v>224</v>
      </c>
      <c r="M16" s="142">
        <v>187</v>
      </c>
      <c r="N16" s="135">
        <v>381</v>
      </c>
      <c r="O16" s="43">
        <f t="shared" si="6"/>
        <v>381</v>
      </c>
      <c r="P16" s="43">
        <f t="shared" si="7"/>
        <v>381</v>
      </c>
      <c r="Q16" s="138">
        <v>332</v>
      </c>
      <c r="R16" s="143">
        <v>268</v>
      </c>
      <c r="S16" s="42"/>
      <c r="T16" s="43"/>
      <c r="U16" s="43"/>
      <c r="V16" s="42">
        <f t="shared" si="0"/>
        <v>332</v>
      </c>
      <c r="W16" s="42">
        <f t="shared" si="0"/>
        <v>268</v>
      </c>
      <c r="AC16" s="2"/>
    </row>
    <row r="17" spans="1:29" x14ac:dyDescent="0.2">
      <c r="A17" s="84">
        <v>9</v>
      </c>
      <c r="B17" s="85"/>
      <c r="D17" s="76">
        <v>485</v>
      </c>
      <c r="E17" s="43">
        <f t="shared" si="2"/>
        <v>485</v>
      </c>
      <c r="F17" s="43">
        <f t="shared" si="3"/>
        <v>485</v>
      </c>
      <c r="G17" s="138">
        <v>415</v>
      </c>
      <c r="H17" s="141">
        <v>352</v>
      </c>
      <c r="I17" s="43">
        <v>290</v>
      </c>
      <c r="J17" s="43">
        <f t="shared" si="4"/>
        <v>290</v>
      </c>
      <c r="K17" s="43">
        <f t="shared" si="5"/>
        <v>290</v>
      </c>
      <c r="L17" s="138">
        <v>245</v>
      </c>
      <c r="M17" s="142">
        <v>207</v>
      </c>
      <c r="N17" s="135">
        <v>417</v>
      </c>
      <c r="O17" s="43">
        <f t="shared" si="6"/>
        <v>417</v>
      </c>
      <c r="P17" s="43">
        <f t="shared" si="7"/>
        <v>417</v>
      </c>
      <c r="Q17" s="138">
        <v>364</v>
      </c>
      <c r="R17" s="143">
        <v>298</v>
      </c>
      <c r="S17" s="42"/>
      <c r="T17" s="43"/>
      <c r="U17" s="43"/>
      <c r="V17" s="42">
        <f t="shared" si="0"/>
        <v>364</v>
      </c>
      <c r="W17" s="42">
        <f t="shared" si="0"/>
        <v>298</v>
      </c>
      <c r="Z17" s="14"/>
      <c r="AA17" s="14" t="s">
        <v>9</v>
      </c>
      <c r="AB17" s="14"/>
      <c r="AC17" s="13">
        <f>SUMIF($AA$5:$AA$14,AA17,$AC$5:$AC$14)</f>
        <v>9</v>
      </c>
    </row>
    <row r="18" spans="1:29" x14ac:dyDescent="0.2">
      <c r="A18" s="84">
        <v>10</v>
      </c>
      <c r="D18" s="76">
        <v>523</v>
      </c>
      <c r="E18" s="43">
        <f t="shared" si="2"/>
        <v>523</v>
      </c>
      <c r="F18" s="43">
        <f t="shared" si="3"/>
        <v>523</v>
      </c>
      <c r="G18" s="138">
        <v>451</v>
      </c>
      <c r="H18" s="141">
        <v>388</v>
      </c>
      <c r="I18" s="43">
        <v>313</v>
      </c>
      <c r="J18" s="43">
        <f t="shared" si="4"/>
        <v>313</v>
      </c>
      <c r="K18" s="43">
        <f t="shared" si="5"/>
        <v>313</v>
      </c>
      <c r="L18" s="138">
        <v>266</v>
      </c>
      <c r="M18" s="142">
        <v>228</v>
      </c>
      <c r="N18" s="135">
        <v>450</v>
      </c>
      <c r="O18" s="43">
        <f t="shared" si="6"/>
        <v>450</v>
      </c>
      <c r="P18" s="43">
        <f t="shared" si="7"/>
        <v>450</v>
      </c>
      <c r="Q18" s="138">
        <v>396</v>
      </c>
      <c r="R18" s="143">
        <v>327</v>
      </c>
      <c r="S18" s="42"/>
      <c r="T18" s="43"/>
      <c r="U18" s="43"/>
      <c r="V18" s="42">
        <f t="shared" si="0"/>
        <v>396</v>
      </c>
      <c r="W18" s="42">
        <f t="shared" si="0"/>
        <v>327</v>
      </c>
      <c r="Y18" s="74" t="s">
        <v>16</v>
      </c>
      <c r="Z18" s="14"/>
      <c r="AA18" s="14" t="s">
        <v>7</v>
      </c>
      <c r="AB18" s="14"/>
      <c r="AC18" s="13">
        <f>SUMIF($AA$5:$AA$14,AA18,$AC$5:$AC$14)</f>
        <v>0</v>
      </c>
    </row>
    <row r="19" spans="1:29" x14ac:dyDescent="0.2">
      <c r="A19" s="84">
        <v>11</v>
      </c>
      <c r="D19" s="76">
        <v>560</v>
      </c>
      <c r="E19" s="43">
        <f t="shared" si="2"/>
        <v>560</v>
      </c>
      <c r="F19" s="43">
        <f t="shared" si="3"/>
        <v>560</v>
      </c>
      <c r="G19" s="138">
        <v>486</v>
      </c>
      <c r="H19" s="141">
        <v>424</v>
      </c>
      <c r="I19" s="43">
        <v>335</v>
      </c>
      <c r="J19" s="43">
        <f t="shared" si="4"/>
        <v>335</v>
      </c>
      <c r="K19" s="43">
        <f t="shared" si="5"/>
        <v>335</v>
      </c>
      <c r="L19" s="138">
        <v>286</v>
      </c>
      <c r="M19" s="142">
        <v>249</v>
      </c>
      <c r="N19" s="135">
        <v>482</v>
      </c>
      <c r="O19" s="43">
        <f t="shared" si="6"/>
        <v>482</v>
      </c>
      <c r="P19" s="43">
        <f t="shared" si="7"/>
        <v>482</v>
      </c>
      <c r="Q19" s="138">
        <v>427</v>
      </c>
      <c r="R19" s="143">
        <v>357</v>
      </c>
      <c r="S19" s="42"/>
      <c r="T19" s="43"/>
      <c r="U19" s="43"/>
      <c r="V19" s="42">
        <f t="shared" si="0"/>
        <v>427</v>
      </c>
      <c r="W19" s="42">
        <f t="shared" si="0"/>
        <v>357</v>
      </c>
      <c r="Y19" s="75" t="s">
        <v>24</v>
      </c>
      <c r="Z19" s="14"/>
      <c r="AA19" s="14" t="s">
        <v>3</v>
      </c>
      <c r="AB19" s="14"/>
      <c r="AC19" s="13">
        <f>SUMIF($AA$5:$AA$14,AA19,$AC$5:$AC$14)</f>
        <v>0</v>
      </c>
    </row>
    <row r="20" spans="1:29" x14ac:dyDescent="0.2">
      <c r="A20" s="84">
        <v>12</v>
      </c>
      <c r="D20" s="76">
        <v>592</v>
      </c>
      <c r="E20" s="43">
        <f t="shared" si="2"/>
        <v>592</v>
      </c>
      <c r="F20" s="43">
        <f t="shared" si="3"/>
        <v>592</v>
      </c>
      <c r="G20" s="138">
        <v>521</v>
      </c>
      <c r="H20" s="141">
        <v>460</v>
      </c>
      <c r="I20" s="43">
        <v>355</v>
      </c>
      <c r="J20" s="43">
        <f t="shared" si="4"/>
        <v>355</v>
      </c>
      <c r="K20" s="43">
        <f t="shared" si="5"/>
        <v>355</v>
      </c>
      <c r="L20" s="138">
        <v>304</v>
      </c>
      <c r="M20" s="142">
        <v>270</v>
      </c>
      <c r="N20" s="135">
        <v>509</v>
      </c>
      <c r="O20" s="43">
        <f t="shared" si="6"/>
        <v>509</v>
      </c>
      <c r="P20" s="43">
        <f t="shared" si="7"/>
        <v>509</v>
      </c>
      <c r="Q20" s="138">
        <v>459</v>
      </c>
      <c r="R20" s="143">
        <v>387</v>
      </c>
      <c r="S20" s="42"/>
      <c r="T20" s="43"/>
      <c r="U20" s="43"/>
      <c r="V20" s="42">
        <f t="shared" si="0"/>
        <v>459</v>
      </c>
      <c r="W20" s="42">
        <f t="shared" si="0"/>
        <v>387</v>
      </c>
      <c r="Z20" s="14"/>
      <c r="AA20" s="14" t="s">
        <v>10</v>
      </c>
      <c r="AB20" s="14"/>
      <c r="AC20" s="13">
        <f>SUMIF($AA$5:$AA$14,AA20,$AC$5:$AC$14)</f>
        <v>0</v>
      </c>
    </row>
    <row r="21" spans="1:29" x14ac:dyDescent="0.2">
      <c r="A21" s="84">
        <v>13</v>
      </c>
      <c r="D21" s="76">
        <v>621</v>
      </c>
      <c r="E21" s="43">
        <f t="shared" si="2"/>
        <v>621</v>
      </c>
      <c r="F21" s="43">
        <f t="shared" si="3"/>
        <v>621</v>
      </c>
      <c r="G21" s="138">
        <v>556</v>
      </c>
      <c r="H21" s="141">
        <v>497</v>
      </c>
      <c r="I21" s="43">
        <v>373</v>
      </c>
      <c r="J21" s="43">
        <f t="shared" si="4"/>
        <v>373</v>
      </c>
      <c r="K21" s="43">
        <f t="shared" si="5"/>
        <v>373</v>
      </c>
      <c r="L21" s="138">
        <v>323</v>
      </c>
      <c r="M21" s="142">
        <v>291</v>
      </c>
      <c r="N21" s="135">
        <v>534</v>
      </c>
      <c r="O21" s="43">
        <f t="shared" si="6"/>
        <v>534</v>
      </c>
      <c r="P21" s="43">
        <f t="shared" si="7"/>
        <v>534</v>
      </c>
      <c r="Q21" s="138">
        <v>491</v>
      </c>
      <c r="R21" s="143">
        <v>476</v>
      </c>
      <c r="S21" s="42"/>
      <c r="T21" s="43"/>
      <c r="U21" s="43"/>
      <c r="V21" s="42">
        <f t="shared" si="0"/>
        <v>491</v>
      </c>
      <c r="W21" s="42">
        <f t="shared" si="0"/>
        <v>476</v>
      </c>
      <c r="Z21" s="14"/>
      <c r="AA21" s="14" t="s">
        <v>2</v>
      </c>
      <c r="AB21" s="14"/>
      <c r="AC21" s="13">
        <f>SUMIF($AA$5:$AA$14,AA21,$AC$5:$AC$14)</f>
        <v>98</v>
      </c>
    </row>
    <row r="22" spans="1:29" x14ac:dyDescent="0.2">
      <c r="A22" s="84">
        <v>14</v>
      </c>
      <c r="D22" s="76">
        <v>649</v>
      </c>
      <c r="E22" s="43">
        <f t="shared" si="2"/>
        <v>649</v>
      </c>
      <c r="F22" s="43">
        <f t="shared" si="3"/>
        <v>649</v>
      </c>
      <c r="G22" s="138">
        <v>591</v>
      </c>
      <c r="H22" s="141">
        <v>533</v>
      </c>
      <c r="I22" s="43">
        <v>389</v>
      </c>
      <c r="J22" s="43">
        <f t="shared" si="4"/>
        <v>389</v>
      </c>
      <c r="K22" s="43">
        <f t="shared" si="5"/>
        <v>389</v>
      </c>
      <c r="L22" s="138">
        <v>342</v>
      </c>
      <c r="M22" s="142">
        <v>312</v>
      </c>
      <c r="N22" s="135">
        <v>557</v>
      </c>
      <c r="O22" s="43">
        <f t="shared" si="6"/>
        <v>557</v>
      </c>
      <c r="P22" s="43">
        <f t="shared" si="7"/>
        <v>557</v>
      </c>
      <c r="Q22" s="138">
        <v>523</v>
      </c>
      <c r="R22" s="143">
        <v>446</v>
      </c>
      <c r="S22" s="42"/>
      <c r="T22" s="43"/>
      <c r="U22" s="43"/>
      <c r="V22" s="42">
        <f t="shared" ref="V22:V30" si="9">Q22</f>
        <v>523</v>
      </c>
      <c r="W22" s="42">
        <f t="shared" ref="W22:W30" si="10">R22</f>
        <v>446</v>
      </c>
      <c r="Y22" s="34"/>
      <c r="Z22" s="14"/>
      <c r="AA22" s="14"/>
      <c r="AB22" s="14"/>
      <c r="AC22" s="13">
        <f>SUM(AC17:AC21)</f>
        <v>107</v>
      </c>
    </row>
    <row r="23" spans="1:29" x14ac:dyDescent="0.2">
      <c r="A23" s="84">
        <v>15</v>
      </c>
      <c r="D23" s="76">
        <v>673</v>
      </c>
      <c r="E23" s="43">
        <f t="shared" si="2"/>
        <v>673</v>
      </c>
      <c r="F23" s="43">
        <f t="shared" si="3"/>
        <v>673</v>
      </c>
      <c r="G23" s="138">
        <v>627</v>
      </c>
      <c r="H23" s="141">
        <v>569</v>
      </c>
      <c r="I23" s="43">
        <v>403</v>
      </c>
      <c r="J23" s="43">
        <f t="shared" si="4"/>
        <v>403</v>
      </c>
      <c r="K23" s="43">
        <f t="shared" si="5"/>
        <v>403</v>
      </c>
      <c r="L23" s="138">
        <v>359</v>
      </c>
      <c r="M23" s="142">
        <v>333</v>
      </c>
      <c r="N23" s="135">
        <v>578</v>
      </c>
      <c r="O23" s="43">
        <f t="shared" si="6"/>
        <v>578</v>
      </c>
      <c r="P23" s="43">
        <f t="shared" si="7"/>
        <v>578</v>
      </c>
      <c r="Q23" s="138">
        <v>555</v>
      </c>
      <c r="R23" s="143">
        <v>476</v>
      </c>
      <c r="S23" s="42"/>
      <c r="T23" s="43"/>
      <c r="U23" s="43"/>
      <c r="V23" s="42">
        <f t="shared" si="9"/>
        <v>555</v>
      </c>
      <c r="W23" s="42">
        <f t="shared" si="10"/>
        <v>476</v>
      </c>
      <c r="Y23" s="34"/>
      <c r="Z23" s="14"/>
      <c r="AA23" s="14"/>
      <c r="AB23" s="14"/>
      <c r="AC23" s="14"/>
    </row>
    <row r="24" spans="1:29" x14ac:dyDescent="0.2">
      <c r="A24" s="84">
        <v>16</v>
      </c>
      <c r="D24" s="76">
        <v>694</v>
      </c>
      <c r="E24" s="43">
        <f t="shared" si="2"/>
        <v>694</v>
      </c>
      <c r="F24" s="43">
        <f t="shared" si="3"/>
        <v>694</v>
      </c>
      <c r="G24" s="138">
        <v>662</v>
      </c>
      <c r="H24" s="141">
        <v>606</v>
      </c>
      <c r="I24" s="43">
        <v>417</v>
      </c>
      <c r="J24" s="43">
        <f t="shared" si="4"/>
        <v>417</v>
      </c>
      <c r="K24" s="43">
        <f t="shared" si="5"/>
        <v>417</v>
      </c>
      <c r="L24" s="138">
        <v>377</v>
      </c>
      <c r="M24" s="142">
        <v>354</v>
      </c>
      <c r="N24" s="135">
        <v>597</v>
      </c>
      <c r="O24" s="43">
        <f t="shared" si="6"/>
        <v>597</v>
      </c>
      <c r="P24" s="43">
        <f t="shared" si="7"/>
        <v>597</v>
      </c>
      <c r="Q24" s="138">
        <v>587</v>
      </c>
      <c r="R24" s="143">
        <v>506</v>
      </c>
      <c r="S24" s="42"/>
      <c r="T24" s="43"/>
      <c r="U24" s="43"/>
      <c r="V24" s="42">
        <f t="shared" si="9"/>
        <v>587</v>
      </c>
      <c r="W24" s="42">
        <f t="shared" si="10"/>
        <v>506</v>
      </c>
      <c r="Y24" s="34"/>
      <c r="Z24" s="33"/>
      <c r="AA24" s="33"/>
      <c r="AB24" s="33"/>
      <c r="AC24" s="33"/>
    </row>
    <row r="25" spans="1:29" x14ac:dyDescent="0.2">
      <c r="A25" s="84">
        <v>17</v>
      </c>
      <c r="D25" s="76">
        <v>711</v>
      </c>
      <c r="E25" s="43">
        <f t="shared" si="2"/>
        <v>711</v>
      </c>
      <c r="F25" s="43">
        <f t="shared" si="3"/>
        <v>711</v>
      </c>
      <c r="G25" s="138">
        <v>697</v>
      </c>
      <c r="H25" s="141">
        <v>642</v>
      </c>
      <c r="I25" s="43">
        <v>427</v>
      </c>
      <c r="J25" s="43">
        <f t="shared" si="4"/>
        <v>427</v>
      </c>
      <c r="K25" s="43">
        <f t="shared" si="5"/>
        <v>427</v>
      </c>
      <c r="L25" s="138">
        <v>394</v>
      </c>
      <c r="M25" s="142">
        <v>375</v>
      </c>
      <c r="N25" s="135">
        <v>611</v>
      </c>
      <c r="O25" s="43">
        <f t="shared" si="6"/>
        <v>611</v>
      </c>
      <c r="P25" s="43">
        <f t="shared" si="7"/>
        <v>611</v>
      </c>
      <c r="Q25" s="138">
        <v>611</v>
      </c>
      <c r="R25" s="143">
        <v>535</v>
      </c>
      <c r="S25" s="42"/>
      <c r="T25" s="43"/>
      <c r="U25" s="43"/>
      <c r="V25" s="42">
        <f t="shared" si="9"/>
        <v>611</v>
      </c>
      <c r="W25" s="42">
        <f t="shared" si="10"/>
        <v>535</v>
      </c>
      <c r="Y25" s="2"/>
    </row>
    <row r="26" spans="1:29" x14ac:dyDescent="0.2">
      <c r="A26" s="84">
        <v>18</v>
      </c>
      <c r="D26" s="76">
        <v>725</v>
      </c>
      <c r="E26" s="43">
        <f t="shared" si="2"/>
        <v>725</v>
      </c>
      <c r="F26" s="43">
        <f t="shared" si="3"/>
        <v>725</v>
      </c>
      <c r="G26" s="138">
        <v>725</v>
      </c>
      <c r="H26" s="141">
        <v>678</v>
      </c>
      <c r="I26" s="43">
        <v>434</v>
      </c>
      <c r="J26" s="43">
        <f t="shared" si="4"/>
        <v>434</v>
      </c>
      <c r="K26" s="43">
        <f t="shared" si="5"/>
        <v>434</v>
      </c>
      <c r="L26" s="138">
        <v>412</v>
      </c>
      <c r="M26" s="142">
        <v>396</v>
      </c>
      <c r="N26" s="135">
        <v>623</v>
      </c>
      <c r="O26" s="43">
        <f t="shared" si="6"/>
        <v>623</v>
      </c>
      <c r="P26" s="43">
        <f t="shared" si="7"/>
        <v>623</v>
      </c>
      <c r="Q26" s="138">
        <v>623</v>
      </c>
      <c r="R26" s="143">
        <v>565</v>
      </c>
      <c r="S26" s="42"/>
      <c r="T26" s="43"/>
      <c r="U26" s="43"/>
      <c r="V26" s="42">
        <f t="shared" si="9"/>
        <v>623</v>
      </c>
      <c r="W26" s="42">
        <f t="shared" si="10"/>
        <v>565</v>
      </c>
      <c r="Y26" s="2"/>
    </row>
    <row r="27" spans="1:29" x14ac:dyDescent="0.2">
      <c r="A27" s="84">
        <v>19</v>
      </c>
      <c r="D27" s="76">
        <v>735</v>
      </c>
      <c r="E27" s="43">
        <f t="shared" si="2"/>
        <v>735</v>
      </c>
      <c r="F27" s="43">
        <f t="shared" si="3"/>
        <v>735</v>
      </c>
      <c r="G27" s="138">
        <v>735</v>
      </c>
      <c r="H27" s="141">
        <v>715</v>
      </c>
      <c r="I27" s="43">
        <v>441</v>
      </c>
      <c r="J27" s="43">
        <f t="shared" si="4"/>
        <v>441</v>
      </c>
      <c r="K27" s="43">
        <f t="shared" si="5"/>
        <v>441</v>
      </c>
      <c r="L27" s="138">
        <v>430</v>
      </c>
      <c r="M27" s="142">
        <v>416</v>
      </c>
      <c r="N27" s="135">
        <v>631</v>
      </c>
      <c r="O27" s="43">
        <f t="shared" si="6"/>
        <v>631</v>
      </c>
      <c r="P27" s="43">
        <f t="shared" si="7"/>
        <v>631</v>
      </c>
      <c r="Q27" s="138">
        <v>631</v>
      </c>
      <c r="R27" s="143">
        <v>595</v>
      </c>
      <c r="S27" s="42"/>
      <c r="T27" s="43"/>
      <c r="U27" s="43"/>
      <c r="V27" s="42">
        <f t="shared" si="9"/>
        <v>631</v>
      </c>
      <c r="W27" s="42">
        <f t="shared" si="10"/>
        <v>595</v>
      </c>
      <c r="Y27" s="2"/>
    </row>
    <row r="28" spans="1:29" x14ac:dyDescent="0.2">
      <c r="A28" s="84">
        <v>20</v>
      </c>
      <c r="D28" s="77">
        <v>743</v>
      </c>
      <c r="E28" s="43">
        <f t="shared" si="2"/>
        <v>743</v>
      </c>
      <c r="F28" s="43">
        <f t="shared" si="3"/>
        <v>743</v>
      </c>
      <c r="G28" s="138">
        <v>743</v>
      </c>
      <c r="H28" s="141">
        <v>743</v>
      </c>
      <c r="I28" s="43">
        <v>446</v>
      </c>
      <c r="J28" s="43">
        <f t="shared" si="4"/>
        <v>446</v>
      </c>
      <c r="K28" s="43">
        <f t="shared" si="5"/>
        <v>446</v>
      </c>
      <c r="L28" s="138">
        <v>446</v>
      </c>
      <c r="M28" s="142">
        <v>437</v>
      </c>
      <c r="N28" s="135">
        <v>639</v>
      </c>
      <c r="O28" s="43">
        <f t="shared" si="6"/>
        <v>639</v>
      </c>
      <c r="P28" s="43">
        <f t="shared" si="7"/>
        <v>639</v>
      </c>
      <c r="Q28" s="138">
        <v>639</v>
      </c>
      <c r="R28" s="143">
        <v>624</v>
      </c>
      <c r="S28" s="42"/>
      <c r="T28" s="43"/>
      <c r="U28" s="43"/>
      <c r="V28" s="42">
        <f t="shared" si="9"/>
        <v>639</v>
      </c>
      <c r="W28" s="42">
        <f t="shared" si="10"/>
        <v>624</v>
      </c>
      <c r="X28" s="1"/>
    </row>
    <row r="29" spans="1:29" x14ac:dyDescent="0.2">
      <c r="A29" s="84">
        <v>21</v>
      </c>
      <c r="D29" s="77">
        <v>750</v>
      </c>
      <c r="E29" s="43">
        <f t="shared" si="2"/>
        <v>750</v>
      </c>
      <c r="F29" s="43">
        <f t="shared" si="3"/>
        <v>750</v>
      </c>
      <c r="G29" s="138">
        <v>750</v>
      </c>
      <c r="H29" s="141">
        <v>750</v>
      </c>
      <c r="I29" s="43">
        <v>450</v>
      </c>
      <c r="J29" s="43">
        <f t="shared" si="4"/>
        <v>450</v>
      </c>
      <c r="K29" s="43">
        <f t="shared" si="5"/>
        <v>450</v>
      </c>
      <c r="L29" s="138">
        <v>450</v>
      </c>
      <c r="M29" s="142">
        <v>450</v>
      </c>
      <c r="N29" s="135">
        <v>644</v>
      </c>
      <c r="O29" s="43">
        <f t="shared" si="6"/>
        <v>644</v>
      </c>
      <c r="P29" s="43">
        <f t="shared" si="7"/>
        <v>644</v>
      </c>
      <c r="Q29" s="138">
        <v>644</v>
      </c>
      <c r="R29" s="143">
        <v>644</v>
      </c>
      <c r="S29" s="42"/>
      <c r="T29" s="43"/>
      <c r="U29" s="43"/>
      <c r="V29" s="42">
        <f t="shared" si="9"/>
        <v>644</v>
      </c>
      <c r="W29" s="42">
        <f t="shared" si="10"/>
        <v>644</v>
      </c>
      <c r="X29" s="1"/>
    </row>
    <row r="30" spans="1:29" x14ac:dyDescent="0.2">
      <c r="A30" s="84">
        <v>30</v>
      </c>
      <c r="D30" s="77">
        <v>806</v>
      </c>
      <c r="E30" s="43">
        <f t="shared" si="2"/>
        <v>806</v>
      </c>
      <c r="F30" s="43">
        <f t="shared" si="3"/>
        <v>806</v>
      </c>
      <c r="G30" s="138">
        <v>806</v>
      </c>
      <c r="H30" s="141">
        <v>806</v>
      </c>
      <c r="I30" s="43">
        <v>479</v>
      </c>
      <c r="J30" s="43">
        <f t="shared" si="4"/>
        <v>479</v>
      </c>
      <c r="K30" s="43">
        <f t="shared" si="5"/>
        <v>479</v>
      </c>
      <c r="L30" s="138">
        <v>479</v>
      </c>
      <c r="M30" s="142">
        <v>479</v>
      </c>
      <c r="N30" s="135">
        <v>691</v>
      </c>
      <c r="O30" s="43">
        <f t="shared" si="6"/>
        <v>691</v>
      </c>
      <c r="P30" s="43">
        <f t="shared" si="7"/>
        <v>691</v>
      </c>
      <c r="Q30" s="138">
        <v>691</v>
      </c>
      <c r="R30" s="143">
        <v>691</v>
      </c>
      <c r="S30" s="42"/>
      <c r="T30" s="43"/>
      <c r="U30" s="43"/>
      <c r="V30" s="42">
        <f t="shared" si="9"/>
        <v>691</v>
      </c>
      <c r="W30" s="42">
        <f t="shared" si="10"/>
        <v>691</v>
      </c>
    </row>
    <row r="31" spans="1:29" ht="13.5" thickBot="1" x14ac:dyDescent="0.25">
      <c r="A31" s="86" t="s">
        <v>6</v>
      </c>
      <c r="B31" s="15"/>
      <c r="C31" s="15"/>
      <c r="D31" s="44">
        <v>995</v>
      </c>
      <c r="E31" s="45"/>
      <c r="F31" s="45"/>
      <c r="G31" s="45"/>
      <c r="H31" s="46"/>
      <c r="I31" s="44">
        <v>574</v>
      </c>
      <c r="J31" s="45"/>
      <c r="K31" s="45"/>
      <c r="L31" s="45"/>
      <c r="M31" s="46"/>
      <c r="N31" s="44">
        <v>849</v>
      </c>
      <c r="O31" s="45"/>
      <c r="P31" s="45"/>
      <c r="Q31" s="45"/>
      <c r="R31" s="46"/>
      <c r="S31" s="44"/>
      <c r="T31" s="45"/>
      <c r="U31" s="45"/>
      <c r="V31" s="45"/>
      <c r="W31" s="46"/>
    </row>
    <row r="32" spans="1:29" x14ac:dyDescent="0.2"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spans="4:23" x14ac:dyDescent="0.2">
      <c r="D33" s="74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spans="4:23" x14ac:dyDescent="0.2">
      <c r="D34" s="75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</row>
    <row r="35" spans="4:23" x14ac:dyDescent="0.2"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4:23" x14ac:dyDescent="0.2"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</sheetData>
  <sheetProtection algorithmName="SHA-512" hashValue="fTCuzsJCsJzXWPvhGT+0p7ZLheHhQzqdJrJAn/tZACk9RS+y8R/7mbrMweohBVq685Tr/bMgRZbRDAK1pgTbFA==" saltValue="imyHA4nk5b0XontD4kcJ7g==" spinCount="100000" sheet="1" objects="1" scenarios="1"/>
  <mergeCells count="2">
    <mergeCell ref="Y4:AB4"/>
    <mergeCell ref="N4:R4"/>
  </mergeCells>
  <phoneticPr fontId="0" type="noConversion"/>
  <pageMargins left="0" right="0" top="0.59055118110236227" bottom="0.59055118110236227" header="0.51181102362204722" footer="0.51181102362204722"/>
  <pageSetup paperSize="9" scale="90" orientation="landscape" horizontalDpi="360" verticalDpi="360" r:id="rId1"/>
  <headerFooter alignWithMargins="0">
    <oddFooter>&amp;C&amp;8&amp;F   &amp;A   &amp;D 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3"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Tagespreise</vt:lpstr>
      <vt:lpstr>St. Anton</vt:lpstr>
      <vt:lpstr>Tabelle1</vt:lpstr>
      <vt:lpstr>Euro</vt:lpstr>
      <vt:lpstr>Saisonzeiten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Arlberger Bergbahnen</dc:creator>
  <cp:lastModifiedBy>marketing</cp:lastModifiedBy>
  <cp:lastPrinted>2020-02-18T10:41:46Z</cp:lastPrinted>
  <dcterms:created xsi:type="dcterms:W3CDTF">2000-04-20T11:11:56Z</dcterms:created>
  <dcterms:modified xsi:type="dcterms:W3CDTF">2022-09-20T11:08:15Z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-121212704</vt:i4>
  </property>
  <property fmtid="{D5CDD505-2E9C-101B-9397-08002B2CF9AE}" pid="3" name="_EmailSubject">
    <vt:lpwstr>Mischpreistabelle - Änderung</vt:lpwstr>
  </property>
  <property fmtid="{D5CDD505-2E9C-101B-9397-08002B2CF9AE}" pid="4" name="_AuthorEmail">
    <vt:lpwstr>strolz.j@abbag.com</vt:lpwstr>
  </property>
  <property fmtid="{D5CDD505-2E9C-101B-9397-08002B2CF9AE}" pid="5" name="_AuthorEmailDisplayName">
    <vt:lpwstr>Strolz Johann</vt:lpwstr>
  </property>
  <property fmtid="{D5CDD505-2E9C-101B-9397-08002B2CF9AE}" pid="6" name="_ReviewingToolsShownOnce">
    <vt:lpwstr/>
  </property>
</Properties>
</file>